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Lj8ZiOQorQEEPg/vOPtkwOj0BWtJ4HuguDvdmvNBvf4hhq7OXG3EyJuW2qNqSFL5Dt5dNhRMbQB1bO8t2i7itg==" workbookSaltValue="PosPEQJFFjklSrzOcriFy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H13" i="12"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I9" i="2"/>
  <c r="I10" i="2"/>
  <c r="I11" i="2"/>
  <c r="I12" i="2"/>
  <c r="C10" i="2"/>
  <c r="C11" i="2"/>
  <c r="D11" i="2" s="1"/>
  <c r="C12" i="2"/>
  <c r="D12" i="2" s="1"/>
  <c r="G9" i="2"/>
  <c r="G10" i="2"/>
  <c r="G11" i="2"/>
  <c r="C11" i="6" s="1"/>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G12" i="12" s="1"/>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AW18" i="21"/>
  <c r="AR13" i="21"/>
  <c r="R13" i="12"/>
  <c r="P19" i="19"/>
  <c r="BE11" i="13"/>
  <c r="B13" i="7"/>
  <c r="E18" i="12"/>
  <c r="EL19" i="8"/>
  <c r="AP12" i="11"/>
  <c r="EN19" i="8"/>
  <c r="F12" i="21"/>
  <c r="G10" i="3"/>
  <c r="BA13" i="16"/>
  <c r="AP10" i="11"/>
  <c r="Y12" i="11"/>
  <c r="T10" i="21"/>
  <c r="ES19" i="8"/>
  <c r="G18" i="12"/>
  <c r="C18" i="7"/>
  <c r="BM19" i="8"/>
  <c r="AL13" i="16"/>
  <c r="S13" i="16"/>
  <c r="P13" i="16"/>
  <c r="AM13" i="20"/>
  <c r="Z13" i="17"/>
  <c r="M18" i="2"/>
  <c r="F13" i="7"/>
  <c r="T13" i="12"/>
  <c r="BD9" i="8"/>
  <c r="I19" i="8"/>
  <c r="T13" i="20"/>
  <c r="T13" i="16"/>
  <c r="AP13"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F17" i="8" l="1"/>
  <c r="AV18" i="21"/>
  <c r="BM18" i="16"/>
  <c r="D13" i="7"/>
  <c r="AC10" i="11"/>
  <c r="BA13" i="8"/>
  <c r="AO17" i="11"/>
  <c r="J10" i="2"/>
  <c r="X12" i="21"/>
  <c r="BH15" i="16"/>
  <c r="BK17" i="11"/>
  <c r="BW10" i="20"/>
  <c r="BI9" i="11"/>
  <c r="Q15" i="17"/>
  <c r="BM17" i="11"/>
  <c r="BF15" i="11"/>
  <c r="BM9" i="11"/>
  <c r="BK10" i="11"/>
  <c r="AA10" i="16"/>
  <c r="S16" i="17"/>
  <c r="X15" i="16"/>
  <c r="X18" i="16" s="1"/>
  <c r="BJ17" i="11"/>
  <c r="V11" i="16"/>
  <c r="BL12" i="11"/>
  <c r="V12" i="21"/>
  <c r="BI10" i="11"/>
  <c r="BJ11" i="11"/>
  <c r="BG15" i="11"/>
  <c r="T15" i="16"/>
  <c r="BV17" i="16"/>
  <c r="BV12" i="16"/>
  <c r="BV11" i="16"/>
  <c r="U10" i="17"/>
  <c r="BU16" i="17"/>
  <c r="S12" i="14"/>
  <c r="V12" i="14" s="1"/>
  <c r="S11" i="14"/>
  <c r="V11" i="14" s="1"/>
  <c r="BG12" i="11"/>
  <c r="BH10" i="11"/>
  <c r="AQ10" i="21"/>
  <c r="BJ10" i="11"/>
  <c r="BK16" i="11"/>
  <c r="BH11" i="11"/>
  <c r="BG16" i="11"/>
  <c r="T11" i="11"/>
  <c r="BH16" i="11"/>
  <c r="AQ12" i="21"/>
  <c r="BJ16" i="11"/>
  <c r="BL16" i="11"/>
  <c r="L10" i="2"/>
  <c r="L15" i="2"/>
  <c r="L16" i="2"/>
  <c r="X10" i="21"/>
  <c r="U9" i="17"/>
  <c r="U19" i="17" s="1"/>
  <c r="L9" i="2"/>
  <c r="AA9" i="16"/>
  <c r="BH9" i="16"/>
  <c r="BF16" i="11"/>
  <c r="S9" i="17"/>
  <c r="S16" i="14"/>
  <c r="V16" i="14" s="1"/>
  <c r="BJ12" i="11"/>
  <c r="BU11" i="17"/>
  <c r="BU10" i="17"/>
  <c r="BW12" i="20"/>
  <c r="BW11" i="20"/>
  <c r="BV9" i="16"/>
  <c r="AZ12" i="11"/>
  <c r="T16" i="11"/>
  <c r="Q17" i="17"/>
  <c r="T12" i="11"/>
  <c r="BH10" i="16"/>
  <c r="S17" i="17"/>
  <c r="BH12" i="16"/>
  <c r="S15" i="17"/>
  <c r="L12" i="2"/>
  <c r="L17" i="2"/>
  <c r="AA11" i="16"/>
  <c r="V9" i="16"/>
  <c r="BE12" i="8"/>
  <c r="BE9" i="13"/>
  <c r="F15" i="16"/>
  <c r="BL15" i="16" s="1"/>
  <c r="BE12" i="21"/>
  <c r="AN12" i="11"/>
  <c r="BF11" i="8"/>
  <c r="BF9" i="8"/>
  <c r="J9" i="7" s="1"/>
  <c r="BG9" i="8"/>
  <c r="K9" i="7" s="1"/>
  <c r="BG12" i="8"/>
  <c r="K12" i="7" s="1"/>
  <c r="E9" i="6"/>
  <c r="K9" i="12" s="1"/>
  <c r="AL9" i="11"/>
  <c r="E11" i="6"/>
  <c r="R11" i="14"/>
  <c r="BL10" i="11"/>
  <c r="BL15" i="11"/>
  <c r="BF12" i="11"/>
  <c r="P15" i="17"/>
  <c r="S15" i="16"/>
  <c r="S18" i="16" s="1"/>
  <c r="S19" i="16" s="1"/>
  <c r="X17" i="17"/>
  <c r="AZ11" i="11"/>
  <c r="X15" i="17"/>
  <c r="AZ16" i="11"/>
  <c r="AA16" i="16"/>
  <c r="BU12" i="17"/>
  <c r="BU17" i="17"/>
  <c r="BV10" i="16"/>
  <c r="BU9" i="17"/>
  <c r="BW15" i="20"/>
  <c r="BV15" i="16"/>
  <c r="BW16" i="20"/>
  <c r="BV16" i="16"/>
  <c r="BW17" i="20"/>
  <c r="BW9" i="20"/>
  <c r="BU15" i="17"/>
  <c r="T17" i="16"/>
  <c r="R17" i="20"/>
  <c r="R18" i="20" s="1"/>
  <c r="AP15" i="20"/>
  <c r="R10" i="21"/>
  <c r="R13" i="21" s="1"/>
  <c r="V9" i="11"/>
  <c r="Q10" i="21"/>
  <c r="V11" i="11"/>
  <c r="BK15" i="11"/>
  <c r="S17" i="16"/>
  <c r="BF17" i="11"/>
  <c r="Q17" i="20"/>
  <c r="Q18" i="20" s="1"/>
  <c r="BH15" i="11"/>
  <c r="V15" i="11"/>
  <c r="AP16" i="20"/>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T18" i="12"/>
  <c r="AJ19" i="8"/>
  <c r="AL19" i="8"/>
  <c r="G17" i="3"/>
  <c r="G15" i="3"/>
  <c r="G13" i="2"/>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I15" i="12" l="1"/>
  <c r="K16"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<sst xmlns="http://schemas.openxmlformats.org/spreadsheetml/2006/main" count="2080" uniqueCount="905">
  <si>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</si>
  <si>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</si>
  <si>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</si>
  <si>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</si>
  <si>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</si>
  <si>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</si>
  <si>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</si>
  <si>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</si>
  <si>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</si>
  <si>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</si>
  <si>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</si>
  <si>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</si>
  <si>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</si>
  <si>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</si>
  <si>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</si>
  <si>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</si>
  <si>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</si>
  <si>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</si>
  <si>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</si>
  <si>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</si>
  <si>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</si>
  <si>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</si>
  <si>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</si>
  <si>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</si>
  <si>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</si>
  <si>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</si>
  <si>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</si>
  <si>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</si>
  <si>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</si>
  <si>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</si>
  <si>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</si>
  <si>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</si>
  <si>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</si>
  <si>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</si>
  <si>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</si>
  <si>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</si>
  <si>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</si>
  <si>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</si>
  <si>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</si>
  <si>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</si>
  <si>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</si>
  <si>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</si>
  <si>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</si>
  <si>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</si>
  <si>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</si>
  <si>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</si>
  <si>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</si>
  <si>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</si>
  <si>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</si>
  <si>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</si>
  <si>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</si>
  <si>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</si>
  <si>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</si>
  <si>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</si>
  <si>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</si>
  <si>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</si>
  <si>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</si>
  <si>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</si>
  <si>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</si>
  <si>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</si>
  <si>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</si>
  <si>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</si>
  <si>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</si>
  <si>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</si>
  <si>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</si>
  <si>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</si>
  <si>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</si>
  <si>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</si>
  <si>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</si>
  <si>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</si>
  <si>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</si>
  <si>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</si>
  <si>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</si>
  <si>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</si>
  <si>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</si>
  <si>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</si>
  <si>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</si>
  <si>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</si>
  <si>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</si>
  <si>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</si>
  <si>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</si>
  <si>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</si>
  <si>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</si>
  <si>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</si>
  <si>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</si>
  <si>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</si>
  <si>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</si>
  <si>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</si>
  <si>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</si>
  <si>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</si>
  <si>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</si>
  <si>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</si>
  <si>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</si>
  <si>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</si>
  <si>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</si>
  <si>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</si>
  <si>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</si>
  <si>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</si>
  <si>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</si>
  <si>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</si>
  <si>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</si>
  <si>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</si>
  <si>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</si>
  <si>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</si>
  <si>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</si>
  <si>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</si>
  <si>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</si>
  <si>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</si>
  <si>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</si>
  <si>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</si>
  <si>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</si>
  <si>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</si>
  <si>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</si>
  <si>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</si>
  <si>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</si>
  <si>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</si>
  <si>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</si>
  <si>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</si>
  <si>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</si>
  <si>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</si>
  <si>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</si>
  <si>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</si>
  <si>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</si>
  <si>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</si>
  <si>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</si>
  <si>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</si>
  <si>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</si>
  <si>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</si>
  <si>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</si>
  <si>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</si>
  <si>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</si>
  <si>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</si>
  <si>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</si>
  <si>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</si>
  <si>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</si>
  <si>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</si>
  <si>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</si>
  <si>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</si>
  <si>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</si>
  <si>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</si>
  <si>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</si>
  <si>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</si>
  <si>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</si>
  <si>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</si>
  <si>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</si>
  <si>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</si>
  <si>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</si>
  <si>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</si>
  <si>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</si>
  <si>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</si>
  <si>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</si>
  <si>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</si>
  <si>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</si>
  <si>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</si>
  <si>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</si>
  <si>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</si>
  <si>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</si>
  <si>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</si>
  <si>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</si>
  <si>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</si>
  <si>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</si>
  <si>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</si>
  <si>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</si>
  <si>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</si>
  <si>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</si>
  <si>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</si>
  <si>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</si>
  <si>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</si>
  <si>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</si>
  <si>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</si>
  <si>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</si>
  <si>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</si>
  <si>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</si>
  <si>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</si>
  <si>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</si>
  <si>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</si>
  <si>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</si>
  <si>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</si>
  <si>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</si>
  <si>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</si>
  <si>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</si>
  <si>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</si>
  <si>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</si>
  <si>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</si>
  <si>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</si>
  <si>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</si>
  <si>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</si>
  <si>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</si>
  <si>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</si>
  <si>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</si>
  <si>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</si>
  <si>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</si>
  <si>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</si>
  <si>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</si>
  <si>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</si>
  <si>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</si>
  <si>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</si>
  <si>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</si>
  <si>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</si>
  <si>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</si>
  <si>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</si>
  <si>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</si>
  <si>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</si>
  <si>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</si>
  <si>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</si>
  <si>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</si>
  <si>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</si>
  <si>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</si>
  <si>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</si>
  <si>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</si>
  <si>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</si>
  <si>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</si>
  <si>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</si>
  <si>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</si>
  <si>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</si>
  <si>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</si>
  <si>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</si>
  <si>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</si>
  <si>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</si>
  <si>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</si>
  <si>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</si>
  <si>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</si>
  <si>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</si>
  <si>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</si>
  <si>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</si>
  <si>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</si>
  <si>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</si>
  <si>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</si>
  <si>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</si>
  <si>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</si>
  <si>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</si>
  <si>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</si>
  <si>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</si>
  <si>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</si>
  <si>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</si>
  <si>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</si>
  <si>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</si>
  <si>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</si>
  <si>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</si>
  <si>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</si>
  <si>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</si>
  <si>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</si>
  <si>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</si>
  <si>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</si>
  <si>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</si>
  <si>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</si>
  <si>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</si>
  <si>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</si>
  <si>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</si>
  <si>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</si>
  <si>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</si>
  <si>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</si>
  <si>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</si>
  <si>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</si>
  <si>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</si>
  <si>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</si>
  <si>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</si>
  <si>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</si>
  <si>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</si>
  <si>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</si>
  <si>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</si>
  <si>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</si>
  <si>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</si>
  <si>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</si>
  <si>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</si>
  <si>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</si>
  <si>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</si>
  <si>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</si>
  <si>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</si>
  <si>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</si>
  <si>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</si>
  <si>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</si>
  <si>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</si>
  <si>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</si>
  <si>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</si>
  <si>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</si>
  <si>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</si>
  <si>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</si>
  <si>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</si>
  <si>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</si>
  <si>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</si>
  <si>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</si>
  <si>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</si>
  <si>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</si>
  <si>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</si>
  <si>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</si>
  <si>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</si>
  <si>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</si>
  <si>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</si>
  <si>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</si>
  <si>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</si>
  <si>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</si>
  <si>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</si>
  <si>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</si>
  <si>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</si>
  <si>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</si>
  <si>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</si>
  <si>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</si>
  <si>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</si>
  <si>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</si>
  <si>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</si>
  <si>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</si>
  <si>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</si>
  <si>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</si>
  <si>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</si>
  <si>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</si>
  <si>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</si>
  <si>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</si>
  <si>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</si>
  <si>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</si>
  <si>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</si>
  <si>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</si>
  <si>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</si>
  <si>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</si>
  <si>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</si>
  <si>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</si>
  <si>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</si>
  <si>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</si>
  <si>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</si>
  <si>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</si>
  <si>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</si>
  <si>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</si>
  <si>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</si>
  <si>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</si>
  <si>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</si>
  <si>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</si>
  <si>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</si>
  <si>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</si>
  <si>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</si>
  <si>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</si>
  <si>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</si>
  <si>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</si>
  <si>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</si>
  <si>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</si>
  <si>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</si>
  <si>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</si>
  <si>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</si>
  <si>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</si>
  <si>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</si>
  <si>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</si>
  <si>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</si>
  <si>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</si>
  <si>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</si>
  <si>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</si>
  <si>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</si>
  <si>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</si>
  <si>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</si>
  <si>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</si>
  <si>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</si>
  <si>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</si>
  <si>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</si>
  <si>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</si>
  <si>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</si>
  <si>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</si>
  <si>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</si>
  <si>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</si>
  <si>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</si>
  <si>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</si>
  <si>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</si>
  <si>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</si>
  <si>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</si>
  <si>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</si>
  <si>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</si>
  <si>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</si>
  <si>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</si>
  <si>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</si>
  <si>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</si>
  <si>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</si>
  <si>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</si>
  <si>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</si>
  <si>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</si>
  <si>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</si>
  <si>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</si>
  <si>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</si>
  <si>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</si>
  <si>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</si>
  <si>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</si>
  <si>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</si>
  <si>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</si>
  <si>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</si>
  <si>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</si>
  <si>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</si>
  <si>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</si>
  <si>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</si>
  <si>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</si>
  <si>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</si>
  <si>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</si>
  <si>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</si>
  <si>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</si>
  <si>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</si>
  <si>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</si>
  <si>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</si>
  <si>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</si>
  <si>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</si>
  <si>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</si>
  <si>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</si>
  <si>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</si>
  <si>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</si>
  <si>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</si>
  <si>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</si>
  <si>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</si>
  <si>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</si>
  <si>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</si>
  <si>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</si>
  <si>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</si>
  <si>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</si>
  <si>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</si>
  <si>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</si>
  <si>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</si>
  <si>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</si>
  <si>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</si>
  <si>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</si>
  <si>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</si>
  <si>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</si>
  <si>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</si>
  <si>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</si>
  <si>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</si>
  <si>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</si>
  <si>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</si>
  <si>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</si>
  <si>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</si>
  <si>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</si>
  <si>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</si>
  <si>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</si>
  <si>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</si>
  <si>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</si>
  <si>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</si>
  <si>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</si>
  <si>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</si>
  <si>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</si>
  <si>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</si>
  <si>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</si>
  <si>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</si>
  <si>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</si>
  <si>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</si>
  <si>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</si>
  <si>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</si>
  <si>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</si>
  <si>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</si>
  <si>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</si>
  <si>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</si>
  <si>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</si>
  <si>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</si>
  <si>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</si>
  <si>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</si>
  <si>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</si>
  <si>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</si>
  <si>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</si>
  <si>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</si>
  <si>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</si>
  <si>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</si>
  <si>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</si>
  <si>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</si>
  <si>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</si>
  <si>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</si>
  <si>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</si>
  <si>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</si>
  <si>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</si>
  <si>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</si>
  <si>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</si>
  <si>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</si>
  <si>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</si>
  <si>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</si>
  <si>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</si>
  <si>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</si>
  <si>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</si>
  <si>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</si>
  <si>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</si>
  <si>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</si>
  <si>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</si>
  <si>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</si>
  <si>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</si>
  <si>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</si>
  <si>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</si>
  <si>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</si>
  <si>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</si>
  <si>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</si>
  <si>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</si>
  <si>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</si>
  <si>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</si>
  <si>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</si>
  <si>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</si>
  <si>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</si>
  <si>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</si>
  <si>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</si>
  <si>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</si>
  <si>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</si>
  <si>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</si>
  <si>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</si>
  <si>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</si>
  <si>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</si>
  <si>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</si>
  <si>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</si>
  <si>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</si>
  <si>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</si>
  <si>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</si>
  <si>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</si>
  <si>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</si>
  <si>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</si>
  <si>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</si>
  <si>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</si>
  <si>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</si>
  <si>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</si>
  <si>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</si>
  <si>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</si>
  <si>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</si>
  <si>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</si>
  <si>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</si>
  <si>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</si>
  <si>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</si>
  <si>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</si>
  <si>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</si>
  <si>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</si>
  <si>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</si>
  <si>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</si>
  <si>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</si>
  <si>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</si>
  <si>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</si>
  <si>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</si>
  <si>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</si>
  <si>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</si>
  <si>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</si>
  <si>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</si>
  <si>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</si>
  <si>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</si>
  <si>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</si>
  <si>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</si>
  <si>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</si>
  <si>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</si>
  <si>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</si>
  <si>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</si>
  <si>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</si>
  <si>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</si>
  <si>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</si>
  <si>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</si>
  <si>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</si>
  <si>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</si>
  <si>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</si>
  <si>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</si>
  <si>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</si>
  <si>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</si>
  <si>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</si>
  <si>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</si>
  <si>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</si>
  <si>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</si>
  <si>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</si>
  <si>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</si>
  <si>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</si>
  <si>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</si>
  <si>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</si>
  <si>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</si>
  <si>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</si>
  <si>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</si>
  <si>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</si>
  <si>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</si>
  <si>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</si>
  <si>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</si>
  <si>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</si>
  <si>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</si>
  <si>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</si>
  <si>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</si>
  <si>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</si>
  <si>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</si>
  <si>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</si>
  <si>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</si>
  <si>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</si>
  <si>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</si>
  <si>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</si>
  <si>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</si>
  <si>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</si>
  <si>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</si>
  <si>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</si>
  <si>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</si>
  <si>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</si>
  <si>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</si>
  <si>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</si>
  <si>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</si>
  <si>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</si>
  <si>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</si>
  <si>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</si>
  <si>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</si>
  <si>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</si>
  <si>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</si>
  <si>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</si>
  <si>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</si>
  <si>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</si>
  <si>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</si>
  <si>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</si>
  <si>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</si>
  <si>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</si>
  <si>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</si>
  <si>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</si>
  <si>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</si>
  <si>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</si>
  <si>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</si>
  <si>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</si>
  <si>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</si>
  <si>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</si>
  <si>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</si>
  <si>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</si>
  <si>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</si>
  <si>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</si>
  <si>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</si>
  <si>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</si>
  <si>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</si>
  <si>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</si>
  <si>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</si>
  <si>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</si>
  <si>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</si>
  <si>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</si>
  <si>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</si>
  <si>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</si>
  <si>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</si>
  <si>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</si>
  <si>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</si>
  <si>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</si>
  <si>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</si>
  <si>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</si>
  <si>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</si>
  <si>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</si>
  <si>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</si>
  <si>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</si>
  <si>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</si>
  <si>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</si>
  <si>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</si>
  <si>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</si>
  <si>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</si>
  <si>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</si>
  <si>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</si>
  <si>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</si>
  <si>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</si>
  <si>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</si>
  <si>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</si>
  <si>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</si>
  <si>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</si>
  <si>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</si>
  <si>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</si>
  <si>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</si>
  <si>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</si>
  <si>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</si>
  <si>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</si>
  <si>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</si>
  <si>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</si>
  <si>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</si>
  <si>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</si>
  <si>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</si>
  <si>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</si>
  <si>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</si>
  <si>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</si>
  <si>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</si>
  <si>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</si>
  <si>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</si>
  <si>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</si>
  <si>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</si>
  <si>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</si>
  <si>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</si>
  <si>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</si>
  <si>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</si>
  <si>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</si>
  <si>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</si>
  <si>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</si>
  <si>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</si>
  <si>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</si>
  <si>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</si>
  <si>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</si>
  <si>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</si>
  <si>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</si>
  <si>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</si>
  <si>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</si>
  <si>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</si>
  <si>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</si>
  <si>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</si>
  <si>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</si>
  <si>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</si>
  <si>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</si>
  <si>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</si>
  <si>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</si>
  <si>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</si>
  <si>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</si>
  <si>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</si>
  <si>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</si>
  <si>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</si>
  <si>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</si>
  <si>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</si>
  <si>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</si>
  <si>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</si>
  <si>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</si>
  <si>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</si>
  <si>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</si>
  <si>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</si>
  <si>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</si>
  <si>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</si>
  <si>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</si>
  <si>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</si>
  <si>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</si>
  <si>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</si>
  <si>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</si>
  <si>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</si>
  <si>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</si>
  <si>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</si>
  <si>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</si>
  <si>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</si>
  <si>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</si>
  <si>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</si>
  <si>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</si>
  <si>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</si>
  <si>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</si>
  <si>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</si>
  <si>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</si>
  <si>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</si>
  <si>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</si>
  <si>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</si>
  <si>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</si>
  <si>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</si>
  <si>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</si>
  <si>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</si>
  <si>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</si>
  <si>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</si>
  <si>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</si>
  <si>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</si>
  <si>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</si>
  <si>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</si>
  <si>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</si>
  <si>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</si>
  <si>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</si>
  <si>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</si>
  <si>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</si>
  <si>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</si>
  <si>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</si>
  <si>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</si>
  <si>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</si>
  <si>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</si>
  <si>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</si>
  <si>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</si>
  <si>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</si>
  <si>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</si>
  <si>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</si>
  <si>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</si>
  <si>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</si>
  <si>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</si>
  <si>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</si>
  <si>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</si>
  <si>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</si>
  <si>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</si>
  <si>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</si>
  <si>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</si>
  <si>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</si>
  <si>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</si>
  <si>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</si>
  <si>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</si>
  <si>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</si>
  <si>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</si>
  <si>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</si>
  <si>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</si>
  <si>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</si>
  <si>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</si>
  <si>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</si>
  <si>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</si>
  <si>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</si>
  <si>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</si>
  <si>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</si>
  <si>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</si>
  <si>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</si>
  <si>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</si>
  <si>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</si>
  <si>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</si>
  <si>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</si>
  <si>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</si>
  <si>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</si>
  <si>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</si>
  <si>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</si>
  <si>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</si>
  <si>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</si>
  <si>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</si>
  <si>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</si>
  <si>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</si>
  <si>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</si>
  <si>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</si>
  <si>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</si>
  <si>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</si>
  <si>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</si>
  <si>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</si>
  <si>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</si>
  <si>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</si>
  <si>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</si>
  <si>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</si>
  <si>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</si>
  <si>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</si>
  <si>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</si>
  <si>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</si>
  <si>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</si>
  <si>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</si>
  <si>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</si>
  <si>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</si>
  <si>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</si>
  <si>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</si>
  <si>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</si>
  <si>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</si>
  <si>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</si>
  <si>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</si>
  <si>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</si>
  <si>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</si>
  <si>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</si>
  <si>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</si>
  <si>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</si>
  <si>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</si>
  <si>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</si>
  <si>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</si>
  <si>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</si>
  <si>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</si>
  <si>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</si>
  <si>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</si>
  <si>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</si>
  <si>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</si>
  <si>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</si>
  <si>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</si>
  <si>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</si>
  <si>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</si>
  <si>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</si>
  <si>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</si>
  <si>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</si>
  <si>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</si>
  <si>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</si>
  <si>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</si>
  <si>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</si>
  <si>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</si>
  <si>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</si>
  <si>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</si>
  <si>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</si>
  <si>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</si>
  <si>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</si>
  <si>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</si>
  <si>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</si>
  <si>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</si>
  <si>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</si>
  <si>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</si>
  <si>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</si>
  <si>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</si>
  <si>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</si>
  <si>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</si>
  <si>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</si>
  <si>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</si>
  <si>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</si>
  <si>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</si>
  <si>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</si>
  <si>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</si>
  <si>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</si>
  <si>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</si>
  <si>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</si>
  <si>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</si>
  <si>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</si>
  <si>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</si>
  <si>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</si>
  <si>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</si>
  <si>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</si>
  <si>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</si>
  <si>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</si>
  <si>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</si>
  <si>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</si>
  <si>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</si>
  <si>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</si>
  <si>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</si>
  <si>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</si>
  <si>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</si>
  <si>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</si>
  <si>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</si>
  <si>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</si>
  <si>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</si>
  <si>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</si>
  <si>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</si>
  <si>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</si>
  <si>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</si>
  <si>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</si>
  <si>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</si>
  <si>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</si>
  <si>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</si>
  <si>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</si>
  <si>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</si>
  <si>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</si>
  <si>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</si>
  <si>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</si>
  <si>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</si>
  <si>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</si>
  <si>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</si>
  <si>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</si>
  <si>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</si>
  <si>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</si>
  <si>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</si>
  <si>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</si>
  <si>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</si>
  <si>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</si>
  <si>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</si>
  <si>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</si>
  <si>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</si>
  <si>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</si>
  <si>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</si>
  <si>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</si>
  <si>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</si>
  <si>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</si>
  <si>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</si>
  <si>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ISLAS BALEARES</t>
  </si>
  <si>
    <t>Provincias</t>
  </si>
  <si>
    <t>ILLES BALEARS</t>
  </si>
  <si>
    <t>Resumenes por Partidos Judiciales</t>
  </si>
  <si>
    <t>INCA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</si>
</sst>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898</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899</v>
      </c>
      <c r="B9" s="384" t="s">
        <v>900</v>
      </c>
      <c r="C9" s="381"/>
      <c r="D9" s="381"/>
      <c r="E9" s="390"/>
      <c r="F9" s="3"/>
    </row>
    <row r="10" spans="1:19">
      <c r="A10" s="389" t="s">
        <v>901</v>
      </c>
      <c r="B10" s="381" t="s">
        <v>902</v>
      </c>
      <c r="C10" s="381"/>
      <c r="D10" s="381"/>
      <c r="E10" s="390"/>
      <c r="F10" s="3"/>
      <c r="Q10" s="355">
        <v>0</v>
      </c>
    </row>
    <row r="11" spans="1:19" ht="13.5" thickBot="1">
      <c r="A11" s="391" t="s">
        <v>903</v>
      </c>
      <c r="B11" s="392" t="s">
        <v>904</v>
      </c>
      <c r="C11" s="392"/>
      <c r="D11" s="392"/>
      <c r="E11" s="393"/>
      <c r="F11" s="3"/>
    </row>
    <row r="12" spans="1:19" ht="40.5" customHeight="1" thickBot="1">
      <c r="A12" s="383"/>
      <c r="B12" s="381"/>
      <c r="C12" s="381"/>
      <c r="D12" s="381"/>
      <c r="E12" s="381"/>
      <c r="F12" s="3"/>
      <c r="Q12" s="1263"/>
    </row>
    <row r="13" spans="1:19" ht="15">
      <c r="A13" s="394" t="s">
        <v>124</v>
      </c>
      <c r="B13" s="395" t="s">
        <v>55</v>
      </c>
      <c r="C13" s="936" t="s">
        <v>728</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oEogI0aKk4kVrr5KSz8E0Pul+SfUFn4qlFlTMU7NQ2SjFR7iE7aoWbD/sCrckGwTijGgKEYqQtBksmdwjuF4Vw==" saltValue="aTom/Lrujxi2X36iaksC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ISLAS BALEARES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831</v>
      </c>
      <c r="T7" s="1306" t="s">
        <v>832</v>
      </c>
      <c r="U7" s="1306" t="s">
        <v>833</v>
      </c>
      <c r="V7" s="1306" t="s">
        <v>834</v>
      </c>
      <c r="W7" s="1248" t="s">
        <v>452</v>
      </c>
      <c r="X7" s="1324" t="s">
        <v>850</v>
      </c>
      <c r="Y7" s="1324" t="s">
        <v>851</v>
      </c>
      <c r="Z7" s="1325" t="s">
        <v>852</v>
      </c>
      <c r="AA7" s="1251" t="s">
        <v>452</v>
      </c>
      <c r="AB7" s="1322" t="s">
        <v>453</v>
      </c>
      <c r="AC7" s="1322" t="s">
        <v>853</v>
      </c>
      <c r="AD7" s="1323" t="s">
        <v>854</v>
      </c>
      <c r="AE7" s="1252" t="s">
        <v>829</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49.579594790159184</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75</v>
      </c>
      <c r="D10" s="229">
        <f>IF(ISNUMBER(Datos!I10),Datos!I10," - ")</f>
        <v>75</v>
      </c>
      <c r="E10" s="230">
        <f>IF(ISNUMBER(Datos!J10),Datos!J10," - ")</f>
        <v>19</v>
      </c>
      <c r="F10" s="230">
        <f>IF(ISNUMBER(Datos!K10),Datos!K10," - ")</f>
        <v>19</v>
      </c>
      <c r="G10" s="1189" t="str">
        <f>IF(Datos!E10&lt;&gt;"",Datos!E10,Datos!D10)</f>
        <v>37</v>
      </c>
      <c r="H10" s="231">
        <f>IF(ISNUMBER(Datos!L10),Datos!L10," - ")</f>
        <v>75</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43.421052631578945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75</v>
      </c>
      <c r="D13" s="1206">
        <f>SUBTOTAL(9,D9:D12)</f>
        <v>75</v>
      </c>
      <c r="E13" s="1207">
        <f>SUBTOTAL(9,E9:E12)</f>
        <v>19</v>
      </c>
      <c r="F13" s="1208">
        <f>SUBTOTAL(9,F9:F12)</f>
        <v>19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2684</v>
      </c>
      <c r="D15" s="229">
        <f>IF(ISNUMBER(IF(D_I="SI",Datos!I15,Datos!I15+Datos!AC15)),IF(D_I="SI",Datos!I15,Datos!I15+Datos!AC15)," - ")</f>
        <v>2684</v>
      </c>
      <c r="E15" s="230">
        <f>IF(ISNUMBER(IF(D_I="SI",Datos!J15,Datos!J15+Datos!AD15)),IF(D_I="SI",Datos!J15,Datos!J15+Datos!AD15)," - ")</f>
        <v>1355</v>
      </c>
      <c r="F15" s="230">
        <f>IF(ISNUMBER(IF(D_I="SI",Datos!K15,Datos!K15+Datos!AE15)),IF(D_I="SI",Datos!K15,Datos!K15+Datos!AE15)," - ")</f>
        <v>980</v>
      </c>
      <c r="G15" s="1189" t="str">
        <f>IF(Datos!E15&lt;&gt;"",Datos!E15,Datos!D15)</f>
        <v>03</v>
      </c>
      <c r="H15" s="231">
        <f>IF(ISNUMBER(IF(D_I="SI",Datos!L15,Datos!L15+Datos!AF15)),IF(D_I="SI",Datos!L15,Datos!L15+Datos!AF15)," - ")</f>
        <v>3059</v>
      </c>
      <c r="I15" s="1199" t="str">
        <f>IF(ISNUMBER(Datos!AS15/Datos!BM15),Datos!AS15/Datos!BM15," - ")</f>
        <v xml:space="preserve"> - </v>
      </c>
      <c r="J15" s="1200">
        <f>IF(ISNUMBER(Datos!BY15/Datos!CN15),Datos!BY15/Datos!CN15," - ")</f>
        <v>0</v>
      </c>
      <c r="K15" s="234">
        <f t="shared" ref="K15:K17" si="3">IF(ISNUMBER((E15-F15)/C15),(E15-F15)/C15," - ")</f>
        <v>0.13971684053651268</v>
      </c>
      <c r="L15" s="1201">
        <f>IF(ISNUMBER(NºAsuntos!I15/NºAsuntos!G15),(NºAsuntos!I15/NºAsuntos!G15)*11," - ")</f>
        <v>34.335714285714289</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f t="shared" si="2"/>
        <v>3</v>
      </c>
      <c r="D16" s="229">
        <f>IF(ISNUMBER(IF(D_I="SI",Datos!I16,Datos!I16+Datos!AC16)),IF(D_I="SI",Datos!I16,Datos!I16+Datos!AC16)," - ")</f>
        <v>3</v>
      </c>
      <c r="E16" s="230">
        <f>IF(ISNUMBER(IF(D_I="SI",Datos!J16,Datos!J16+Datos!AD16)),IF(D_I="SI",Datos!J16,Datos!J16+Datos!AD16)," - ")</f>
        <v>0</v>
      </c>
      <c r="F16" s="230">
        <f>IF(ISNUMBER(IF(D_I="SI",Datos!K16,Datos!K16+Datos!AE16)),IF(D_I="SI",Datos!K16,Datos!K16+Datos!AE16)," - ")</f>
        <v>0</v>
      </c>
      <c r="G16" s="1189" t="str">
        <f>IF(Datos!E16&lt;&gt;"",Datos!E16,Datos!D16)</f>
        <v>04</v>
      </c>
      <c r="H16" s="231">
        <f>IF(ISNUMBER(IF(D_I="SI",Datos!L16,Datos!L16+Datos!AF16)),IF(D_I="SI",Datos!L16,Datos!L16+Datos!AF16)," - ")</f>
        <v>3</v>
      </c>
      <c r="I16" s="1199" t="str">
        <f>IF(ISNUMBER(Datos!AS16/Datos!BM16),Datos!AS16/Datos!BM16," - ")</f>
        <v xml:space="preserve"> - </v>
      </c>
      <c r="J16" s="1200">
        <f>IF(ISNUMBER(Datos!BY16/Datos!CN16),Datos!BY16/Datos!CN16," - ")</f>
        <v>0</v>
      </c>
      <c r="K16" s="234">
        <f t="shared" si="3"/>
        <v>0</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273</v>
      </c>
      <c r="D17" s="229">
        <f>IF(ISNUMBER(IF(D_I="SI",Datos!I17,Datos!I17+Datos!AC17)),IF(D_I="SI",Datos!I17,Datos!I17+Datos!AC17)," - ")</f>
        <v>273</v>
      </c>
      <c r="E17" s="230">
        <f>IF(ISNUMBER(IF(D_I="SI",Datos!J17,Datos!J17+Datos!AD17)),IF(D_I="SI",Datos!J17,Datos!J17+Datos!AD17)," - ")</f>
        <v>277</v>
      </c>
      <c r="F17" s="230">
        <f>IF(ISNUMBER(IF(D_I="SI",Datos!K17,Datos!K17+Datos!AE17)),IF(D_I="SI",Datos!K17,Datos!K17+Datos!AE17)," - ")</f>
        <v>246</v>
      </c>
      <c r="G17" s="1189" t="str">
        <f>IF(Datos!E17&lt;&gt;"",Datos!E17,Datos!D17)</f>
        <v>37</v>
      </c>
      <c r="H17" s="231">
        <f>IF(ISNUMBER(IF(D_I="SI",Datos!L17,Datos!L17+Datos!AF17)),IF(D_I="SI",Datos!L17,Datos!L17+Datos!AF17)," - ")</f>
        <v>304</v>
      </c>
      <c r="I17" s="1199" t="str">
        <f>IF(ISNUMBER(Datos!AS17/Datos!BM17),Datos!AS17/Datos!BM17," - ")</f>
        <v xml:space="preserve"> - </v>
      </c>
      <c r="J17" s="1200" t="str">
        <f>IF(ISNUMBER((Datos!BY17+Datos!BZ17)/Datos!CN17),(Datos!BY17+Datos!BZ17)/Datos!CN17," - ")</f>
        <v xml:space="preserve"> - </v>
      </c>
      <c r="K17" s="234">
        <f t="shared" si="3"/>
        <v>0.11355311355311355</v>
      </c>
      <c r="L17" s="1201">
        <f>IF(ISNUMBER(NºAsuntos!I17/NºAsuntos!G17),(NºAsuntos!I17/NºAsuntos!G17)*11," - ")</f>
        <v>13.59349593495935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2960</v>
      </c>
      <c r="D18" s="1206">
        <f>SUBTOTAL(9,D15:D17)</f>
        <v>2960</v>
      </c>
      <c r="E18" s="1207">
        <f>SUBTOTAL(9,E15:E17)</f>
        <v>1632</v>
      </c>
      <c r="F18" s="1207">
        <f>SUBTOTAL(9,F15:F17)</f>
        <v>1226</v>
      </c>
      <c r="G18" s="1209" t="str">
        <f ca="1">INDIRECT(CONCATENATE("G",ROW()-1))</f>
        <v>37</v>
      </c>
      <c r="H18" s="1210">
        <f ca="1">SUMIF(G$14:G17,G18,H$14:H17)</f>
        <v>304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3035</v>
      </c>
      <c r="D19" s="1228">
        <f>SUBTOTAL(9,D9:D18)</f>
        <v>3035</v>
      </c>
      <c r="E19" s="1229">
        <f>SUBTOTAL(9,E9:E18)</f>
        <v>1651</v>
      </c>
      <c r="F19" s="1229">
        <f>SUBTOTAL(9,F9:F18)</f>
        <v>1245</v>
      </c>
      <c r="G19" s="1230"/>
      <c r="H19" s="1231">
        <f ca="1">SUMIF(B9:B18,"TOTAL",H9:H18)</f>
        <v>304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631</v>
      </c>
      <c r="O25" s="1485"/>
      <c r="P25" s="1485"/>
      <c r="Q25" s="1485"/>
      <c r="R25" s="1485"/>
      <c r="S25" s="1485"/>
      <c r="T25" s="1485"/>
      <c r="U25" s="1485"/>
      <c r="V25" s="1485"/>
      <c r="W25" s="1485"/>
      <c r="Y25" s="1485" t="s">
        <v>632</v>
      </c>
      <c r="Z25" s="1485"/>
      <c r="AA25" s="1485"/>
      <c r="AB25" s="1485"/>
      <c r="AC25" s="1485"/>
    </row>
    <row r="27" spans="1:31">
      <c r="N27" s="1185" t="s">
        <v>633</v>
      </c>
      <c r="O27" s="1480" t="s">
        <v>634</v>
      </c>
      <c r="P27" s="1480"/>
      <c r="Q27" s="1480"/>
      <c r="R27" s="1480"/>
      <c r="S27" s="1480"/>
      <c r="T27" s="1480"/>
      <c r="U27" s="1480"/>
      <c r="V27" s="1480"/>
      <c r="W27" s="1480"/>
      <c r="Y27" s="1185" t="s">
        <v>633</v>
      </c>
      <c r="Z27" s="1483" t="s">
        <v>635</v>
      </c>
      <c r="AA27" s="1483"/>
      <c r="AB27" s="1483"/>
      <c r="AC27" s="1483"/>
    </row>
    <row r="28" spans="1:31">
      <c r="N28" s="1185" t="s">
        <v>636</v>
      </c>
      <c r="O28" s="1480" t="s">
        <v>637</v>
      </c>
      <c r="P28" s="1480"/>
      <c r="Q28" s="1480"/>
      <c r="R28" s="1480"/>
      <c r="S28" s="1480"/>
      <c r="T28" s="1480"/>
      <c r="U28" s="1480"/>
      <c r="V28" s="1480"/>
      <c r="W28" s="1480"/>
      <c r="Y28" s="1185" t="s">
        <v>636</v>
      </c>
      <c r="Z28" s="1483" t="s">
        <v>638</v>
      </c>
      <c r="AA28" s="1483"/>
      <c r="AB28" s="1483"/>
      <c r="AC28" s="1483"/>
    </row>
    <row r="29" spans="1:31">
      <c r="N29" s="1185" t="s">
        <v>639</v>
      </c>
      <c r="O29" s="1480" t="s">
        <v>640</v>
      </c>
      <c r="P29" s="1480"/>
      <c r="Q29" s="1480"/>
      <c r="R29" s="1480"/>
      <c r="S29" s="1480"/>
      <c r="T29" s="1480"/>
      <c r="U29" s="1480"/>
      <c r="V29" s="1480"/>
      <c r="W29" s="1480"/>
      <c r="Y29" s="1185" t="s">
        <v>641</v>
      </c>
      <c r="Z29" s="1483" t="s">
        <v>642</v>
      </c>
      <c r="AA29" s="1483"/>
      <c r="AB29" s="1483"/>
      <c r="AC29" s="1483"/>
    </row>
    <row r="30" spans="1:31">
      <c r="N30" s="1185" t="s">
        <v>643</v>
      </c>
      <c r="O30" s="1480" t="s">
        <v>644</v>
      </c>
      <c r="P30" s="1480"/>
      <c r="Q30" s="1480"/>
      <c r="R30" s="1480"/>
      <c r="S30" s="1480"/>
      <c r="T30" s="1480"/>
      <c r="U30" s="1480"/>
      <c r="V30" s="1480"/>
      <c r="W30" s="1480"/>
      <c r="Y30" s="1185" t="s">
        <v>645</v>
      </c>
      <c r="Z30" s="1483" t="s">
        <v>646</v>
      </c>
      <c r="AA30" s="1483"/>
      <c r="AB30" s="1483"/>
      <c r="AC30" s="1483"/>
    </row>
    <row r="31" spans="1:31">
      <c r="N31" s="1185" t="s">
        <v>731</v>
      </c>
      <c r="O31" s="1480" t="s">
        <v>732</v>
      </c>
      <c r="P31" s="1480"/>
      <c r="Q31" s="1480"/>
      <c r="R31" s="1480"/>
      <c r="S31" s="1480"/>
      <c r="T31" s="1480"/>
      <c r="U31" s="1480"/>
      <c r="V31" s="1480"/>
      <c r="W31" s="1480"/>
      <c r="Y31" s="1185" t="s">
        <v>639</v>
      </c>
      <c r="Z31" s="1483" t="s">
        <v>640</v>
      </c>
      <c r="AA31" s="1483"/>
      <c r="AB31" s="1483"/>
      <c r="AC31" s="1483"/>
    </row>
    <row r="32" spans="1:31">
      <c r="N32" s="1185" t="s">
        <v>647</v>
      </c>
      <c r="O32" s="1480" t="s">
        <v>648</v>
      </c>
      <c r="P32" s="1480"/>
      <c r="Q32" s="1480"/>
      <c r="R32" s="1480"/>
      <c r="S32" s="1480"/>
      <c r="T32" s="1480"/>
      <c r="U32" s="1480"/>
      <c r="V32" s="1480"/>
      <c r="W32" s="1480"/>
      <c r="Y32" s="1185" t="s">
        <v>643</v>
      </c>
      <c r="Z32" s="1483" t="s">
        <v>644</v>
      </c>
      <c r="AA32" s="1483"/>
      <c r="AB32" s="1483"/>
      <c r="AC32" s="1483"/>
    </row>
    <row r="33" spans="14:29">
      <c r="N33" s="1185" t="s">
        <v>649</v>
      </c>
      <c r="O33" s="1480" t="s">
        <v>650</v>
      </c>
      <c r="P33" s="1480"/>
      <c r="Q33" s="1480"/>
      <c r="R33" s="1480"/>
      <c r="S33" s="1480"/>
      <c r="T33" s="1480"/>
      <c r="U33" s="1480"/>
      <c r="V33" s="1480"/>
      <c r="W33" s="1480"/>
      <c r="Y33" s="1185" t="s">
        <v>652</v>
      </c>
      <c r="Z33" s="1483" t="s">
        <v>653</v>
      </c>
      <c r="AA33" s="1483"/>
      <c r="AB33" s="1483"/>
      <c r="AC33" s="1483"/>
    </row>
    <row r="34" spans="14:29">
      <c r="N34" s="1185" t="s">
        <v>641</v>
      </c>
      <c r="O34" s="1480" t="s">
        <v>651</v>
      </c>
      <c r="P34" s="1480"/>
      <c r="Q34" s="1480"/>
      <c r="R34" s="1480"/>
      <c r="S34" s="1480"/>
      <c r="T34" s="1480"/>
      <c r="U34" s="1480"/>
      <c r="V34" s="1480"/>
      <c r="W34" s="1480"/>
      <c r="Y34" s="1185" t="s">
        <v>655</v>
      </c>
      <c r="Z34" s="1483" t="s">
        <v>656</v>
      </c>
      <c r="AA34" s="1483"/>
      <c r="AB34" s="1483"/>
      <c r="AC34" s="1483"/>
    </row>
    <row r="35" spans="14:29">
      <c r="N35" s="1185" t="s">
        <v>645</v>
      </c>
      <c r="O35" s="1480" t="s">
        <v>654</v>
      </c>
      <c r="P35" s="1480"/>
      <c r="Q35" s="1480"/>
      <c r="R35" s="1480"/>
      <c r="S35" s="1480"/>
      <c r="T35" s="1480"/>
      <c r="U35" s="1480"/>
      <c r="V35" s="1480"/>
      <c r="W35" s="1480"/>
      <c r="Y35" s="1186" t="s">
        <v>658</v>
      </c>
      <c r="Z35" s="1481" t="s">
        <v>659</v>
      </c>
      <c r="AA35" s="1481"/>
      <c r="AB35" s="1481"/>
      <c r="AC35" s="1481"/>
    </row>
    <row r="36" spans="14:29">
      <c r="N36" s="1185" t="s">
        <v>652</v>
      </c>
      <c r="O36" s="1480" t="s">
        <v>657</v>
      </c>
      <c r="P36" s="1480"/>
      <c r="Q36" s="1480"/>
      <c r="R36" s="1480"/>
      <c r="S36" s="1480"/>
      <c r="T36" s="1480"/>
      <c r="U36" s="1480"/>
      <c r="V36" s="1480"/>
      <c r="W36" s="1480"/>
      <c r="Y36" s="1185" t="s">
        <v>647</v>
      </c>
      <c r="Z36" s="1483" t="s">
        <v>648</v>
      </c>
      <c r="AA36" s="1483"/>
      <c r="AB36" s="1483"/>
      <c r="AC36" s="1483"/>
    </row>
    <row r="37" spans="14:29">
      <c r="N37" s="1185" t="s">
        <v>660</v>
      </c>
      <c r="O37" s="1480" t="s">
        <v>661</v>
      </c>
      <c r="P37" s="1480"/>
      <c r="Q37" s="1480"/>
      <c r="R37" s="1480"/>
      <c r="S37" s="1480"/>
      <c r="T37" s="1480"/>
      <c r="U37" s="1480"/>
      <c r="V37" s="1480"/>
      <c r="W37" s="1480"/>
      <c r="Y37" s="1187" t="s">
        <v>649</v>
      </c>
      <c r="Z37" s="1484" t="s">
        <v>650</v>
      </c>
      <c r="AA37" s="1484"/>
      <c r="AB37" s="1484"/>
      <c r="AC37" s="1484"/>
    </row>
    <row r="38" spans="14:29">
      <c r="N38" s="1185" t="s">
        <v>655</v>
      </c>
      <c r="O38" s="1480" t="s">
        <v>662</v>
      </c>
      <c r="P38" s="1480"/>
      <c r="Q38" s="1480"/>
      <c r="R38" s="1480"/>
      <c r="S38" s="1480"/>
      <c r="T38" s="1480"/>
      <c r="U38" s="1480"/>
      <c r="V38" s="1480"/>
      <c r="W38" s="1480"/>
    </row>
    <row r="39" spans="14:29">
      <c r="N39" s="1187" t="s">
        <v>658</v>
      </c>
      <c r="O39" s="1482" t="s">
        <v>663</v>
      </c>
      <c r="P39" s="1482"/>
      <c r="Q39" s="1482"/>
      <c r="R39" s="1482"/>
      <c r="S39" s="1482"/>
      <c r="T39" s="1482"/>
      <c r="U39" s="1482"/>
      <c r="V39" s="1482"/>
      <c r="W39" s="1482"/>
    </row>
  </sheetData>
  <sheetProtection algorithmName="SHA-512" hashValue="VIDP1aFnKwaQWGUX75KvLTzLK90XQGBrinhokX9dg+AlfZlNaZ43Rohl7t8el60QGcJ7YGp3mXeFPoAiMofe8w==" saltValue="laLmjOawRplMSV7B1LTeH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oPlxRwQI2qTFAlz/n3UiXAhResZ1GMvaBpf9oAIaXrsrL4OLD3yafEwKGuaX7oh2EPeANNUadAXQDduF4/IQw==" saltValue="+H0KMZD9PgoNr2VxSAp5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481</v>
      </c>
      <c r="DM5" s="1551" t="s">
        <v>526</v>
      </c>
      <c r="DN5" s="1551" t="s">
        <v>527</v>
      </c>
      <c r="DO5" s="1551" t="s">
        <v>528</v>
      </c>
      <c r="DP5" s="1551" t="s">
        <v>529</v>
      </c>
      <c r="DQ5" s="1551" t="s">
        <v>530</v>
      </c>
      <c r="DR5" s="1551" t="s">
        <v>531</v>
      </c>
      <c r="DS5" s="1551" t="s">
        <v>532</v>
      </c>
      <c r="DT5" s="1551" t="s">
        <v>533</v>
      </c>
      <c r="DU5" s="1552" t="s">
        <v>534</v>
      </c>
      <c r="DV5" s="1530" t="s">
        <v>535</v>
      </c>
      <c r="DW5" s="1527" t="s">
        <v>536</v>
      </c>
      <c r="DX5" s="1551" t="s">
        <v>537</v>
      </c>
      <c r="DY5" s="1524" t="s">
        <v>538</v>
      </c>
      <c r="DZ5" s="1527" t="s">
        <v>539</v>
      </c>
      <c r="EA5" s="1524" t="s">
        <v>540</v>
      </c>
      <c r="EB5" s="1558" t="s">
        <v>584</v>
      </c>
      <c r="EC5" s="1558" t="s">
        <v>585</v>
      </c>
      <c r="ED5" s="1558" t="s">
        <v>586</v>
      </c>
      <c r="EE5" s="1558" t="s">
        <v>619</v>
      </c>
      <c r="EF5" s="1558" t="s">
        <v>623</v>
      </c>
      <c r="EG5" s="1524" t="s">
        <v>621</v>
      </c>
      <c r="EH5" s="1524" t="s">
        <v>622</v>
      </c>
      <c r="EI5" s="1524" t="s">
        <v>588</v>
      </c>
      <c r="EJ5" s="1524" t="s">
        <v>589</v>
      </c>
      <c r="EK5" s="1539" t="s">
        <v>670</v>
      </c>
      <c r="EL5" s="1542" t="s">
        <v>686</v>
      </c>
      <c r="EM5" s="1543"/>
      <c r="EN5" s="1544"/>
      <c r="EO5" s="1536" t="s">
        <v>744</v>
      </c>
      <c r="EP5" s="1536" t="s">
        <v>746</v>
      </c>
      <c r="EQ5" s="1536" t="s">
        <v>747</v>
      </c>
      <c r="ER5" s="1536" t="s">
        <v>752</v>
      </c>
      <c r="ES5" s="1536" t="s">
        <v>757</v>
      </c>
      <c r="ET5" s="1533" t="s">
        <v>824</v>
      </c>
      <c r="EU5" s="1533" t="s">
        <v>825</v>
      </c>
      <c r="EV5" s="1644" t="s">
        <v>841</v>
      </c>
      <c r="EW5" s="1644" t="s">
        <v>846</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743</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687</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487" t="s">
        <v>751</v>
      </c>
      <c r="ER8" s="487">
        <v>148</v>
      </c>
      <c r="ES8" s="487" t="s">
        <v>758</v>
      </c>
      <c r="ET8" s="1302" t="s">
        <v>826</v>
      </c>
      <c r="EU8" s="1302" t="s">
        <v>827</v>
      </c>
      <c r="EV8" s="156" t="s">
        <v>835</v>
      </c>
      <c r="EW8" s="156">
        <v>153</v>
      </c>
      <c r="EX8" s="487" t="s">
        <v>863</v>
      </c>
      <c r="EY8" s="487" t="s">
        <v>876</v>
      </c>
    </row>
    <row r="9" spans="1:155" ht="14.25" customHeight="1">
      <c r="A9" s="20" t="s">
        <v>45</v>
      </c>
      <c r="B9" s="21" t="s">
        <v>406</v>
      </c>
      <c r="C9" s="22" t="s">
        <v>3</v>
      </c>
      <c r="D9" s="23" t="s">
        <v>20</v>
      </c>
      <c r="E9" s="21" t="s">
        <v>21</v>
      </c>
      <c r="F9" s="21">
        <v>32</v>
      </c>
      <c r="G9" s="6"/>
      <c r="H9" s="137" t="s">
        <v>248</v>
      </c>
      <c r="I9" s="184">
        <v>5770</v>
      </c>
      <c r="J9" s="185">
        <v>1612</v>
      </c>
      <c r="K9" s="185">
        <v>1308</v>
      </c>
      <c r="L9" s="185">
        <v>6074</v>
      </c>
      <c r="M9" s="185">
        <v>355</v>
      </c>
      <c r="N9" s="185">
        <v>547</v>
      </c>
      <c r="O9" s="185">
        <v>665</v>
      </c>
      <c r="P9" s="185">
        <v>380</v>
      </c>
      <c r="Q9" s="185">
        <v>218</v>
      </c>
      <c r="R9" s="185">
        <v>8766</v>
      </c>
      <c r="S9" s="185">
        <v>4747</v>
      </c>
      <c r="T9" s="185">
        <v>1489</v>
      </c>
      <c r="U9" s="185">
        <v>1159</v>
      </c>
      <c r="V9" s="185">
        <v>5077</v>
      </c>
      <c r="W9" s="185">
        <v>257</v>
      </c>
      <c r="X9" s="192">
        <v>558</v>
      </c>
      <c r="Y9" s="195">
        <v>151</v>
      </c>
      <c r="Z9" s="185">
        <v>78</v>
      </c>
      <c r="AA9" s="185">
        <v>74</v>
      </c>
      <c r="AB9" s="185">
        <v>155</v>
      </c>
      <c r="AC9" s="185">
        <v>0</v>
      </c>
      <c r="AD9" s="185">
        <v>0</v>
      </c>
      <c r="AE9" s="185">
        <v>0</v>
      </c>
      <c r="AF9" s="192">
        <v>0</v>
      </c>
      <c r="AG9" s="195">
        <v>162</v>
      </c>
      <c r="AH9" s="185">
        <v>114</v>
      </c>
      <c r="AI9" s="185">
        <v>129</v>
      </c>
      <c r="AJ9" s="196">
        <v>147</v>
      </c>
      <c r="AK9" s="184">
        <v>0</v>
      </c>
      <c r="AL9" s="185">
        <v>0</v>
      </c>
      <c r="AM9" s="185">
        <v>0</v>
      </c>
      <c r="AN9" s="192">
        <v>0</v>
      </c>
      <c r="AO9" s="262">
        <v>5</v>
      </c>
      <c r="AP9" s="158">
        <v>5</v>
      </c>
      <c r="AQ9" s="158">
        <v>5</v>
      </c>
      <c r="AR9" s="197">
        <v>5</v>
      </c>
      <c r="AS9" s="347" t="s">
        <v>800</v>
      </c>
      <c r="AT9" s="199"/>
      <c r="AU9" s="198"/>
      <c r="AV9" s="199"/>
      <c r="AW9" s="198"/>
      <c r="AX9" s="199"/>
      <c r="AY9" s="124">
        <f>IF(ISNUMBER(IF(J_V="SI",S9,S9+AG9)),IF(J_V="SI",S9,S9+AG9)," - ")</f>
        <v>4909</v>
      </c>
      <c r="AZ9" s="124">
        <f>IF(ISNUMBER(IF(J_V="SI",T9,T9+AH9)),IF(J_V="SI",T9,T9+AH9)," - ")</f>
        <v>1603</v>
      </c>
      <c r="BA9" s="125">
        <f>IF(ISNUMBER(IF(J_V="SI",U9,U9+AI9)),IF(J_V="SI",U9,U9+AI9)," - ")</f>
        <v>1288</v>
      </c>
      <c r="BB9" s="125">
        <f>IF(ISNUMBER(IF(J_V="SI",V9,V9+AJ9)),IF(J_V="SI",V9,V9+AJ9)," - ")</f>
        <v>5224</v>
      </c>
      <c r="BC9" s="126">
        <f>IF(ISNUMBER(X9),X9," - ")</f>
        <v>558</v>
      </c>
      <c r="BD9" s="127">
        <f>IF(ISNUMBER(BA9/AZ9),BA9/AZ9," - ")</f>
        <v>0.80349344978165937</v>
      </c>
      <c r="BE9" s="128">
        <f>IF(ISNUMBER(BB9/BA9),BB9/BA9, " - ")</f>
        <v>4.0559006211180124</v>
      </c>
      <c r="BF9" s="128">
        <f>IF(ISNUMBER(BC9/BA9),BC9/BA9, " - ")</f>
        <v>0.43322981366459629</v>
      </c>
      <c r="BG9" s="200">
        <f>IF(ISNUMBER((AY9+AZ9)/BA9),(AY9+AZ9)/BA9," - ")</f>
        <v>5.0559006211180124</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887</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75</v>
      </c>
      <c r="J10" s="185">
        <v>19</v>
      </c>
      <c r="K10" s="185">
        <v>19</v>
      </c>
      <c r="L10" s="185">
        <v>75</v>
      </c>
      <c r="M10" s="185">
        <v>13</v>
      </c>
      <c r="N10" s="185">
        <v>4</v>
      </c>
      <c r="O10" s="185">
        <v>0</v>
      </c>
      <c r="P10" s="185">
        <v>0</v>
      </c>
      <c r="Q10" s="185">
        <v>0</v>
      </c>
      <c r="R10" s="185">
        <v>65</v>
      </c>
      <c r="S10" s="185">
        <v>76</v>
      </c>
      <c r="T10" s="185">
        <v>33</v>
      </c>
      <c r="U10" s="185">
        <v>20</v>
      </c>
      <c r="V10" s="185">
        <v>89</v>
      </c>
      <c r="W10" s="185">
        <v>5</v>
      </c>
      <c r="X10" s="192">
        <v>11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794</v>
      </c>
      <c r="AT10" s="196"/>
      <c r="AU10" s="204"/>
      <c r="AV10" s="196"/>
      <c r="AW10" s="204"/>
      <c r="AX10" s="196"/>
      <c r="AY10" s="129">
        <f t="shared" ref="AY10:BC10" si="0">IF(ISNUMBER(S10),S10," - ")</f>
        <v>76</v>
      </c>
      <c r="AZ10" s="130">
        <f t="shared" si="0"/>
        <v>33</v>
      </c>
      <c r="BA10" s="130">
        <f t="shared" si="0"/>
        <v>20</v>
      </c>
      <c r="BB10" s="130">
        <f t="shared" si="0"/>
        <v>89</v>
      </c>
      <c r="BC10" s="126">
        <f t="shared" si="0"/>
        <v>5</v>
      </c>
      <c r="BD10" s="127">
        <f>IF(ISNUMBER(BA10/AZ10),BA10/AZ10," - ")</f>
        <v>0.60606060606060608</v>
      </c>
      <c r="BE10" s="128">
        <f>IF(ISNUMBER(BB10/BA10),BB10/BA10, " - ")</f>
        <v>4.45</v>
      </c>
      <c r="BF10" s="128">
        <f>IF(ISNUMBER(BC10/BA10),BC10/BA10, " - ")</f>
        <v>0.25</v>
      </c>
      <c r="BG10" s="200">
        <f>IF(ISNUMBER((AY10+AZ10)/BA10),(AY10+AZ10)/BA10," - ")</f>
        <v>5.45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768</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809</v>
      </c>
      <c r="J11" s="187" t="s">
        <v>801</v>
      </c>
      <c r="K11" s="187" t="s">
        <v>855</v>
      </c>
      <c r="L11" s="187" t="s">
        <v>814</v>
      </c>
      <c r="M11" s="187" t="s">
        <v>487</v>
      </c>
      <c r="N11" s="187" t="s">
        <v>501</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802</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888</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809</v>
      </c>
      <c r="J12" s="187" t="s">
        <v>801</v>
      </c>
      <c r="K12" s="187" t="s">
        <v>855</v>
      </c>
      <c r="L12" s="187" t="s">
        <v>814</v>
      </c>
      <c r="M12" s="187" t="s">
        <v>487</v>
      </c>
      <c r="N12" s="187" t="s">
        <v>501</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803</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889</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5845</v>
      </c>
      <c r="J13" s="188">
        <f t="shared" si="6"/>
        <v>1631</v>
      </c>
      <c r="K13" s="188">
        <f t="shared" si="6"/>
        <v>1327</v>
      </c>
      <c r="L13" s="188">
        <f t="shared" si="6"/>
        <v>6149</v>
      </c>
      <c r="M13" s="188">
        <f t="shared" si="6"/>
        <v>368</v>
      </c>
      <c r="N13" s="188">
        <f t="shared" si="6"/>
        <v>551</v>
      </c>
      <c r="O13" s="188">
        <f t="shared" si="6"/>
        <v>665</v>
      </c>
      <c r="P13" s="188">
        <f t="shared" si="6"/>
        <v>380</v>
      </c>
      <c r="Q13" s="188">
        <f t="shared" si="6"/>
        <v>218</v>
      </c>
      <c r="R13" s="188">
        <f t="shared" si="6"/>
        <v>8831</v>
      </c>
      <c r="S13" s="188">
        <f t="shared" si="6"/>
        <v>4823</v>
      </c>
      <c r="T13" s="188">
        <f t="shared" si="6"/>
        <v>1522</v>
      </c>
      <c r="U13" s="188">
        <f t="shared" si="6"/>
        <v>1179</v>
      </c>
      <c r="V13" s="188">
        <f t="shared" si="6"/>
        <v>5166</v>
      </c>
      <c r="W13" s="188">
        <f t="shared" si="6"/>
        <v>262</v>
      </c>
      <c r="X13" s="188">
        <f t="shared" si="6"/>
        <v>569</v>
      </c>
      <c r="Y13" s="188">
        <f t="shared" si="6"/>
        <v>151</v>
      </c>
      <c r="Z13" s="188">
        <f t="shared" si="6"/>
        <v>78</v>
      </c>
      <c r="AA13" s="188">
        <f t="shared" si="6"/>
        <v>74</v>
      </c>
      <c r="AB13" s="188">
        <f t="shared" si="6"/>
        <v>155</v>
      </c>
      <c r="AC13" s="188">
        <f t="shared" si="6"/>
        <v>0</v>
      </c>
      <c r="AD13" s="188">
        <f t="shared" si="6"/>
        <v>0</v>
      </c>
      <c r="AE13" s="188">
        <f t="shared" si="6"/>
        <v>0</v>
      </c>
      <c r="AF13" s="188">
        <f>SUBTOTAL(9,AF9:AF12)</f>
        <v>0</v>
      </c>
      <c r="AG13" s="188">
        <f t="shared" ref="AG13:AT13" si="7">SUBTOTAL(9,AG8:AG12)</f>
        <v>162</v>
      </c>
      <c r="AH13" s="188">
        <f t="shared" si="7"/>
        <v>114</v>
      </c>
      <c r="AI13" s="188">
        <f t="shared" si="7"/>
        <v>129</v>
      </c>
      <c r="AJ13" s="188">
        <f t="shared" si="7"/>
        <v>147</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4985</v>
      </c>
      <c r="AZ13" s="188">
        <f>SUBTOTAL(9,AZ8:AZ12)</f>
        <v>1636</v>
      </c>
      <c r="BA13" s="188">
        <f>SUBTOTAL(9,BA8:BA12)</f>
        <v>1308</v>
      </c>
      <c r="BB13" s="188">
        <f>SUBTOTAL(9,BB8:BB12)</f>
        <v>5313</v>
      </c>
      <c r="BC13" s="188">
        <f>SUBTOTAL(9,BC8:BC12)</f>
        <v>563</v>
      </c>
      <c r="BD13" s="209">
        <f>IF(ISNUMBER(BA13/AZ13),BA13/AZ13," - ")</f>
        <v>0.79951100244498774</v>
      </c>
      <c r="BE13" s="210">
        <f>IF(ISNUMBER(BB13/BA13),BB13/BA13, " - ")</f>
        <v>4.0619266055045875</v>
      </c>
      <c r="BF13" s="210">
        <f>IF(ISNUMBER(BC13/BA13),BC13/BA13, " - ")</f>
        <v>0.43042813455657492</v>
      </c>
      <c r="BG13" s="211">
        <f>IF(ISNUMBER((AY13+AZ13)/BA13),(AY13+AZ13)/BA13," - ")</f>
        <v>5.0619266055045875</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2684</v>
      </c>
      <c r="J15" s="187">
        <v>1355</v>
      </c>
      <c r="K15" s="187">
        <v>980</v>
      </c>
      <c r="L15" s="187">
        <v>3059</v>
      </c>
      <c r="M15" s="187">
        <v>147</v>
      </c>
      <c r="N15" s="187">
        <v>597</v>
      </c>
      <c r="O15" s="185">
        <v>6</v>
      </c>
      <c r="P15" s="187">
        <v>14</v>
      </c>
      <c r="Q15" s="187">
        <v>12</v>
      </c>
      <c r="R15" s="187">
        <v>150</v>
      </c>
      <c r="S15" s="187">
        <v>2128</v>
      </c>
      <c r="T15" s="187">
        <v>1750</v>
      </c>
      <c r="U15" s="187">
        <v>1223</v>
      </c>
      <c r="V15" s="187">
        <v>2655</v>
      </c>
      <c r="W15" s="187">
        <v>175</v>
      </c>
      <c r="X15" s="193">
        <v>772</v>
      </c>
      <c r="Y15" s="206">
        <v>0</v>
      </c>
      <c r="Z15" s="187">
        <v>0</v>
      </c>
      <c r="AA15" s="187">
        <v>0</v>
      </c>
      <c r="AB15" s="187">
        <v>0</v>
      </c>
      <c r="AC15" s="187">
        <v>0</v>
      </c>
      <c r="AD15" s="187">
        <v>2</v>
      </c>
      <c r="AE15" s="187">
        <v>2</v>
      </c>
      <c r="AF15" s="193">
        <v>0</v>
      </c>
      <c r="AG15" s="206">
        <v>0</v>
      </c>
      <c r="AH15" s="187">
        <v>0</v>
      </c>
      <c r="AI15" s="187">
        <v>0</v>
      </c>
      <c r="AJ15" s="207">
        <v>0</v>
      </c>
      <c r="AK15" s="186">
        <v>0</v>
      </c>
      <c r="AL15" s="187">
        <v>9</v>
      </c>
      <c r="AM15" s="187">
        <v>9</v>
      </c>
      <c r="AN15" s="193">
        <v>0</v>
      </c>
      <c r="AO15" s="263">
        <v>3</v>
      </c>
      <c r="AP15" s="159">
        <v>3</v>
      </c>
      <c r="AQ15" s="159">
        <v>3</v>
      </c>
      <c r="AR15" s="159">
        <v>3</v>
      </c>
      <c r="AS15" s="349" t="s">
        <v>523</v>
      </c>
      <c r="AT15" s="207" t="s">
        <v>329</v>
      </c>
      <c r="AU15" s="206"/>
      <c r="AV15" s="207"/>
      <c r="AW15" s="206"/>
      <c r="AX15" s="207"/>
      <c r="AY15" s="129">
        <f t="shared" ref="AY15:BB16" si="9">IF(ISNUMBER(IF(D_I="SI",S15,S15+AK15)),IF(D_I="SI",S15,S15+AK15)," - ")</f>
        <v>2128</v>
      </c>
      <c r="AZ15" s="130">
        <f t="shared" si="9"/>
        <v>1750</v>
      </c>
      <c r="BA15" s="130">
        <f t="shared" si="9"/>
        <v>1223</v>
      </c>
      <c r="BB15" s="130">
        <f t="shared" si="9"/>
        <v>2655</v>
      </c>
      <c r="BC15" s="126">
        <f>IF(ISNUMBER(W15),W15," - ")</f>
        <v>175</v>
      </c>
      <c r="BD15" s="127">
        <f>IF(ISNUMBER(BA15/AZ15),BA15/AZ15," - ")</f>
        <v>0.69885714285714284</v>
      </c>
      <c r="BE15" s="128">
        <f>IF(ISNUMBER(BB15/BA15),BB15/BA15, " - ")</f>
        <v>2.170891251022077</v>
      </c>
      <c r="BF15" s="128">
        <f>IF(ISNUMBER(BC15/BA15),BC15/BA15, " - ")</f>
        <v>0.14309076042518398</v>
      </c>
      <c r="BG15" s="200">
        <f t="shared" ref="BG15:BG16" si="10">IF(ISNUMBER((AY15+AZ15)/BA15),(AY15+AZ15)/BA15," - ")</f>
        <v>3.170891251022077</v>
      </c>
      <c r="BH15" s="159">
        <v>3</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804</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v>
      </c>
      <c r="J16" s="187">
        <v>0</v>
      </c>
      <c r="K16" s="187">
        <v>0</v>
      </c>
      <c r="L16" s="187">
        <v>3</v>
      </c>
      <c r="M16" s="187">
        <v>0</v>
      </c>
      <c r="N16" s="187">
        <v>0</v>
      </c>
      <c r="O16" s="185">
        <v>0</v>
      </c>
      <c r="P16" s="187">
        <v>0</v>
      </c>
      <c r="Q16" s="187">
        <v>0</v>
      </c>
      <c r="R16" s="187">
        <v>1</v>
      </c>
      <c r="S16" s="187">
        <v>3</v>
      </c>
      <c r="T16" s="187">
        <v>0</v>
      </c>
      <c r="U16" s="187">
        <v>0</v>
      </c>
      <c r="V16" s="187">
        <v>3</v>
      </c>
      <c r="W16" s="187">
        <v>0</v>
      </c>
      <c r="X16" s="193">
        <v>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0</v>
      </c>
      <c r="AP16" s="159">
        <v>0</v>
      </c>
      <c r="AQ16" s="159">
        <v>0</v>
      </c>
      <c r="AR16" s="159">
        <v>0</v>
      </c>
      <c r="AS16" s="349" t="s">
        <v>485</v>
      </c>
      <c r="AT16" s="207"/>
      <c r="AU16" s="206"/>
      <c r="AV16" s="207"/>
      <c r="AW16" s="206"/>
      <c r="AX16" s="207"/>
      <c r="AY16" s="127">
        <f t="shared" si="9"/>
        <v>3</v>
      </c>
      <c r="AZ16" s="128">
        <f t="shared" si="9"/>
        <v>0</v>
      </c>
      <c r="BA16" s="128">
        <f t="shared" si="9"/>
        <v>0</v>
      </c>
      <c r="BB16" s="128">
        <f t="shared" si="9"/>
        <v>3</v>
      </c>
      <c r="BC16" s="126">
        <f>IF(ISNUMBER(W16),W16," - ")</f>
        <v>0</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774</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273</v>
      </c>
      <c r="J17" s="187">
        <v>277</v>
      </c>
      <c r="K17" s="187">
        <v>246</v>
      </c>
      <c r="L17" s="187">
        <v>304</v>
      </c>
      <c r="M17" s="187">
        <v>73</v>
      </c>
      <c r="N17" s="187">
        <v>110</v>
      </c>
      <c r="O17" s="187">
        <v>0</v>
      </c>
      <c r="P17" s="187">
        <v>0</v>
      </c>
      <c r="Q17" s="187">
        <v>1</v>
      </c>
      <c r="R17" s="187">
        <v>19</v>
      </c>
      <c r="S17" s="187">
        <v>158</v>
      </c>
      <c r="T17" s="187">
        <v>327</v>
      </c>
      <c r="U17" s="187">
        <v>292</v>
      </c>
      <c r="V17" s="187">
        <v>193</v>
      </c>
      <c r="W17" s="187">
        <v>81</v>
      </c>
      <c r="X17" s="193">
        <v>138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793</v>
      </c>
      <c r="AT17" s="213"/>
      <c r="AU17" s="204"/>
      <c r="AV17" s="213"/>
      <c r="AW17" s="204"/>
      <c r="AX17" s="213"/>
      <c r="AY17" s="129">
        <f t="shared" ref="AY17:BB17" si="14">IF(ISNUMBER(S17),S17," - ")</f>
        <v>158</v>
      </c>
      <c r="AZ17" s="130">
        <f t="shared" si="14"/>
        <v>327</v>
      </c>
      <c r="BA17" s="130">
        <f t="shared" si="14"/>
        <v>292</v>
      </c>
      <c r="BB17" s="130">
        <f t="shared" si="14"/>
        <v>193</v>
      </c>
      <c r="BC17" s="126">
        <f>IF(ISNUMBER(W17),W17," - ")</f>
        <v>81</v>
      </c>
      <c r="BD17" s="127">
        <f>IF(ISNUMBER(BA17/AZ17),BA17/AZ17," - ")</f>
        <v>0.89296636085626913</v>
      </c>
      <c r="BE17" s="128">
        <f>IF(ISNUMBER(BB17/BA17),BB17/BA17, " - ")</f>
        <v>0.66095890410958902</v>
      </c>
      <c r="BF17" s="128">
        <f>IF(ISNUMBER(BC17/BA17),BC17/BA17, " - ")</f>
        <v>0.2773972602739726</v>
      </c>
      <c r="BG17" s="200">
        <f>IF(ISNUMBER((AY17+AZ17)/BA17),(AY17+AZ17)/BA17," - ")</f>
        <v>1.6609589041095891</v>
      </c>
      <c r="BH17" s="159">
        <v>1</v>
      </c>
      <c r="BI17" s="159"/>
      <c r="BJ17" s="204"/>
      <c r="BK17" s="158"/>
      <c r="BL17" s="158"/>
      <c r="BM17" s="158">
        <v>1800</v>
      </c>
      <c r="BN17" s="158"/>
      <c r="BO17" s="158"/>
      <c r="BP17" s="158"/>
      <c r="BQ17" s="158"/>
      <c r="BR17" s="158"/>
      <c r="BS17" s="158"/>
      <c r="BT17" s="158"/>
      <c r="BU17" s="158"/>
      <c r="BV17" s="158"/>
      <c r="BW17" s="158"/>
      <c r="BX17" s="158"/>
      <c r="BY17" s="178" t="s">
        <v>729</v>
      </c>
      <c r="BZ17" s="178" t="s">
        <v>730</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775</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2960</v>
      </c>
      <c r="J18" s="188">
        <f t="shared" si="15"/>
        <v>1632</v>
      </c>
      <c r="K18" s="188">
        <f t="shared" si="15"/>
        <v>1226</v>
      </c>
      <c r="L18" s="188">
        <f t="shared" si="15"/>
        <v>3366</v>
      </c>
      <c r="M18" s="188">
        <f t="shared" si="15"/>
        <v>220</v>
      </c>
      <c r="N18" s="188">
        <f t="shared" si="15"/>
        <v>707</v>
      </c>
      <c r="O18" s="188">
        <f t="shared" si="15"/>
        <v>6</v>
      </c>
      <c r="P18" s="188">
        <f t="shared" si="15"/>
        <v>14</v>
      </c>
      <c r="Q18" s="188">
        <f t="shared" si="15"/>
        <v>13</v>
      </c>
      <c r="R18" s="188">
        <f t="shared" si="15"/>
        <v>170</v>
      </c>
      <c r="S18" s="188">
        <f t="shared" si="15"/>
        <v>2289</v>
      </c>
      <c r="T18" s="188">
        <f t="shared" si="15"/>
        <v>2077</v>
      </c>
      <c r="U18" s="188">
        <f t="shared" si="15"/>
        <v>1515</v>
      </c>
      <c r="V18" s="188">
        <f t="shared" si="15"/>
        <v>2851</v>
      </c>
      <c r="W18" s="188">
        <f t="shared" si="15"/>
        <v>256</v>
      </c>
      <c r="X18" s="188">
        <f t="shared" si="15"/>
        <v>910</v>
      </c>
      <c r="Y18" s="188">
        <f t="shared" si="15"/>
        <v>0</v>
      </c>
      <c r="Z18" s="188">
        <f t="shared" si="15"/>
        <v>0</v>
      </c>
      <c r="AA18" s="188">
        <f t="shared" si="15"/>
        <v>0</v>
      </c>
      <c r="AB18" s="188">
        <f t="shared" si="15"/>
        <v>0</v>
      </c>
      <c r="AC18" s="188">
        <f t="shared" si="15"/>
        <v>0</v>
      </c>
      <c r="AD18" s="188">
        <f t="shared" si="15"/>
        <v>2</v>
      </c>
      <c r="AE18" s="188">
        <f t="shared" si="15"/>
        <v>2</v>
      </c>
      <c r="AF18" s="188">
        <f t="shared" si="15"/>
        <v>0</v>
      </c>
      <c r="AG18" s="188">
        <f t="shared" si="15"/>
        <v>0</v>
      </c>
      <c r="AH18" s="188">
        <f t="shared" si="15"/>
        <v>0</v>
      </c>
      <c r="AI18" s="188">
        <f t="shared" si="15"/>
        <v>0</v>
      </c>
      <c r="AJ18" s="188">
        <f t="shared" si="15"/>
        <v>0</v>
      </c>
      <c r="AK18" s="188">
        <f t="shared" si="15"/>
        <v>0</v>
      </c>
      <c r="AL18" s="188">
        <f t="shared" si="15"/>
        <v>9</v>
      </c>
      <c r="AM18" s="188">
        <f t="shared" si="15"/>
        <v>9</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2289</v>
      </c>
      <c r="AZ18" s="188">
        <f>SUBTOTAL(9,AZ14:AZ17)</f>
        <v>2077</v>
      </c>
      <c r="BA18" s="188">
        <f>SUBTOTAL(9,BA14:BA17)</f>
        <v>1515</v>
      </c>
      <c r="BB18" s="188">
        <f>SUBTOTAL(9,BB14:BB17)</f>
        <v>2851</v>
      </c>
      <c r="BC18" s="188">
        <f>SUBTOTAL(9,BC14:BC17)</f>
        <v>256</v>
      </c>
      <c r="BD18" s="209">
        <f>IF(ISNUMBER(BA18/AZ18),BA18/AZ18," - ")</f>
        <v>0.72941742898411166</v>
      </c>
      <c r="BE18" s="210">
        <f>IF(ISNUMBER(BB18/BA18),BB18/BA18, " - ")</f>
        <v>1.8818481848184818</v>
      </c>
      <c r="BF18" s="210">
        <f>IF(ISNUMBER(BC18/BA18),BC18/BA18, " - ")</f>
        <v>0.16897689768976898</v>
      </c>
      <c r="BG18" s="211">
        <f>IF(ISNUMBER((AY18+AZ18)/BA18),(AY18+AZ18)/BA18," - ")</f>
        <v>2.881848184818482</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8805</v>
      </c>
      <c r="J19" s="135">
        <f t="shared" si="18"/>
        <v>3263</v>
      </c>
      <c r="K19" s="135">
        <f t="shared" si="18"/>
        <v>2553</v>
      </c>
      <c r="L19" s="135">
        <f t="shared" si="18"/>
        <v>9515</v>
      </c>
      <c r="M19" s="135">
        <f t="shared" si="18"/>
        <v>588</v>
      </c>
      <c r="N19" s="135">
        <f t="shared" si="18"/>
        <v>1258</v>
      </c>
      <c r="O19" s="135">
        <f t="shared" si="18"/>
        <v>671</v>
      </c>
      <c r="P19" s="135">
        <f t="shared" si="18"/>
        <v>394</v>
      </c>
      <c r="Q19" s="135">
        <f t="shared" si="18"/>
        <v>231</v>
      </c>
      <c r="R19" s="135">
        <f t="shared" si="18"/>
        <v>9001</v>
      </c>
      <c r="S19" s="135">
        <f t="shared" si="18"/>
        <v>7112</v>
      </c>
      <c r="T19" s="135">
        <f t="shared" si="18"/>
        <v>3599</v>
      </c>
      <c r="U19" s="135">
        <f t="shared" si="18"/>
        <v>2694</v>
      </c>
      <c r="V19" s="135">
        <f t="shared" si="18"/>
        <v>8017</v>
      </c>
      <c r="W19" s="135">
        <f t="shared" si="18"/>
        <v>518</v>
      </c>
      <c r="X19" s="135">
        <f t="shared" si="18"/>
        <v>1479</v>
      </c>
      <c r="Y19" s="135">
        <f t="shared" si="18"/>
        <v>151</v>
      </c>
      <c r="Z19" s="135">
        <f t="shared" si="18"/>
        <v>78</v>
      </c>
      <c r="AA19" s="135">
        <f t="shared" si="18"/>
        <v>74</v>
      </c>
      <c r="AB19" s="135">
        <f t="shared" si="18"/>
        <v>155</v>
      </c>
      <c r="AC19" s="135">
        <f t="shared" si="18"/>
        <v>0</v>
      </c>
      <c r="AD19" s="135">
        <f t="shared" si="18"/>
        <v>2</v>
      </c>
      <c r="AE19" s="135">
        <f t="shared" si="18"/>
        <v>2</v>
      </c>
      <c r="AF19" s="135">
        <f t="shared" si="18"/>
        <v>0</v>
      </c>
      <c r="AG19" s="135">
        <f t="shared" si="18"/>
        <v>162</v>
      </c>
      <c r="AH19" s="135">
        <f t="shared" si="18"/>
        <v>114</v>
      </c>
      <c r="AI19" s="135">
        <f t="shared" si="18"/>
        <v>129</v>
      </c>
      <c r="AJ19" s="135">
        <f t="shared" si="18"/>
        <v>147</v>
      </c>
      <c r="AK19" s="135">
        <f t="shared" si="18"/>
        <v>0</v>
      </c>
      <c r="AL19" s="135">
        <f t="shared" si="18"/>
        <v>9</v>
      </c>
      <c r="AM19" s="135">
        <f t="shared" si="18"/>
        <v>9</v>
      </c>
      <c r="AN19" s="214">
        <f t="shared" si="18"/>
        <v>0</v>
      </c>
      <c r="AO19" s="215">
        <v>9</v>
      </c>
      <c r="AP19" s="215">
        <v>8</v>
      </c>
      <c r="AQ19" s="215">
        <v>8</v>
      </c>
      <c r="AR19" s="215">
        <v>8</v>
      </c>
      <c r="AS19" s="157">
        <f t="shared" si="18"/>
        <v>0</v>
      </c>
      <c r="AT19" s="157">
        <f t="shared" si="18"/>
        <v>0</v>
      </c>
      <c r="AU19" s="215"/>
      <c r="AV19" s="216"/>
      <c r="AW19" s="215"/>
      <c r="AX19" s="216"/>
      <c r="AY19" s="134">
        <f>SUBTOTAL(9,AY9:AY18)</f>
        <v>7274</v>
      </c>
      <c r="AZ19" s="135">
        <f>SUBTOTAL(9,AZ9:AZ18)</f>
        <v>3713</v>
      </c>
      <c r="BA19" s="135">
        <f>SUBTOTAL(9,BA9:BA18)</f>
        <v>2823</v>
      </c>
      <c r="BB19" s="135">
        <f>SUBTOTAL(9,BB9:BB18)</f>
        <v>8164</v>
      </c>
      <c r="BC19" s="136">
        <f>SUBTOTAL(9,BC9:BC18)</f>
        <v>819</v>
      </c>
      <c r="BD19" s="217">
        <f>IF(ISNUMBER(BA19/AZ19),BA19/AZ19," - ")</f>
        <v>0.76030164287638025</v>
      </c>
      <c r="BE19" s="214">
        <f>IF(ISNUMBER(BB19/BA19),BB19/BA19, " - ")</f>
        <v>2.891958908962097</v>
      </c>
      <c r="BF19" s="214">
        <f>IF(ISNUMBER(BC19/BA19),BC19/BA19, " - ")</f>
        <v>0.29011689691817216</v>
      </c>
      <c r="BG19" s="136">
        <f>IF(ISNUMBER((AY19+AZ19)/BA19),(AY19+AZ19)/BA19," - ")</f>
        <v>3.891958908962097</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rCm+ZbW8Co+bETOY/PWo19hVEe1ZZIHLE7uhVNFpKz41HzeZN+kPQLTUukE8f6DM/rvXvRSQiEl3kKNCZtxtg==" saltValue="KAqr6T0gBHd+4RfAWq3B5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480</v>
      </c>
      <c r="DM5" s="1551" t="s">
        <v>526</v>
      </c>
      <c r="DN5" s="1551" t="s">
        <v>527</v>
      </c>
      <c r="DO5" s="1551" t="s">
        <v>528</v>
      </c>
      <c r="DP5" s="1551" t="s">
        <v>529</v>
      </c>
      <c r="DQ5" s="1551" t="s">
        <v>530</v>
      </c>
      <c r="DR5" s="1551" t="s">
        <v>531</v>
      </c>
      <c r="DS5" s="1551" t="s">
        <v>532</v>
      </c>
      <c r="DT5" s="1551" t="s">
        <v>533</v>
      </c>
      <c r="DU5" s="1530" t="s">
        <v>534</v>
      </c>
      <c r="DV5" s="1530" t="s">
        <v>535</v>
      </c>
      <c r="DW5" s="1527" t="s">
        <v>536</v>
      </c>
      <c r="DX5" s="1551" t="s">
        <v>537</v>
      </c>
      <c r="DY5" s="1524" t="s">
        <v>538</v>
      </c>
      <c r="DZ5" s="1527" t="s">
        <v>539</v>
      </c>
      <c r="EA5" s="1524" t="s">
        <v>540</v>
      </c>
      <c r="EB5" s="1558" t="s">
        <v>584</v>
      </c>
      <c r="EC5" s="1558" t="s">
        <v>616</v>
      </c>
      <c r="ED5" s="1558" t="s">
        <v>586</v>
      </c>
      <c r="EE5" s="1558" t="s">
        <v>619</v>
      </c>
      <c r="EF5" s="1558" t="s">
        <v>620</v>
      </c>
      <c r="EG5" s="1524" t="s">
        <v>621</v>
      </c>
      <c r="EH5" s="1524" t="s">
        <v>622</v>
      </c>
      <c r="EI5" s="1524" t="s">
        <v>588</v>
      </c>
      <c r="EJ5" s="1524" t="s">
        <v>589</v>
      </c>
      <c r="EK5" s="1653" t="s">
        <v>670</v>
      </c>
      <c r="EL5" s="1542" t="s">
        <v>686</v>
      </c>
      <c r="EM5" s="1543"/>
      <c r="EN5" s="1544"/>
      <c r="EO5" s="1536" t="s">
        <v>744</v>
      </c>
      <c r="EP5" s="1536" t="s">
        <v>746</v>
      </c>
      <c r="EQ5" s="1536" t="s">
        <v>747</v>
      </c>
      <c r="ER5" s="1536" t="s">
        <v>752</v>
      </c>
      <c r="ES5" s="1536" t="s">
        <v>757</v>
      </c>
      <c r="ET5" s="1533" t="s">
        <v>824</v>
      </c>
      <c r="EU5" s="1533" t="s">
        <v>825</v>
      </c>
      <c r="EV5" s="1564" t="s">
        <v>841</v>
      </c>
      <c r="EW5" s="1524" t="s">
        <v>844</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743</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687</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87"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487" t="s">
        <v>688</v>
      </c>
      <c r="EM8" s="487" t="s">
        <v>689</v>
      </c>
      <c r="EN8" s="487" t="s">
        <v>690</v>
      </c>
      <c r="EO8" s="51" t="s">
        <v>745</v>
      </c>
      <c r="EP8" s="51" t="s">
        <v>750</v>
      </c>
      <c r="EQ8" s="51" t="s">
        <v>751</v>
      </c>
      <c r="ER8" s="487">
        <v>148</v>
      </c>
      <c r="ES8" s="487" t="s">
        <v>758</v>
      </c>
      <c r="ET8" s="1302" t="s">
        <v>826</v>
      </c>
      <c r="EU8" s="1302" t="s">
        <v>827</v>
      </c>
      <c r="EV8" s="1302" t="s">
        <v>835</v>
      </c>
      <c r="EW8" s="487" t="s">
        <v>843</v>
      </c>
      <c r="EX8" s="487" t="s">
        <v>863</v>
      </c>
      <c r="EY8" s="487" t="s">
        <v>876</v>
      </c>
    </row>
    <row r="9" spans="1:155" s="693" customFormat="1" ht="14.25" customHeight="1">
      <c r="A9" s="721" t="s">
        <v>45</v>
      </c>
      <c r="B9" s="675" t="s">
        <v>406</v>
      </c>
      <c r="C9" s="676" t="s">
        <v>3</v>
      </c>
      <c r="D9" s="677" t="s">
        <v>20</v>
      </c>
      <c r="E9" s="675" t="s">
        <v>21</v>
      </c>
      <c r="F9" s="675">
        <v>32</v>
      </c>
      <c r="G9" s="678"/>
      <c r="H9" s="722" t="s">
        <v>248</v>
      </c>
      <c r="I9" s="723" t="s">
        <v>867</v>
      </c>
      <c r="J9" s="680" t="s">
        <v>869</v>
      </c>
      <c r="K9" s="680" t="s">
        <v>871</v>
      </c>
      <c r="L9" s="680" t="s">
        <v>873</v>
      </c>
      <c r="M9" s="680" t="s">
        <v>875</v>
      </c>
      <c r="N9" s="680" t="s">
        <v>878</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884</v>
      </c>
      <c r="AT9" s="730"/>
      <c r="AU9" s="729" t="s">
        <v>812</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495</v>
      </c>
      <c r="BW9" s="486" t="s">
        <v>306</v>
      </c>
      <c r="BX9" s="486" t="s">
        <v>307</v>
      </c>
      <c r="BY9" s="486" t="s">
        <v>891</v>
      </c>
      <c r="BZ9" s="486" t="s">
        <v>482</v>
      </c>
      <c r="CA9" s="486" t="s">
        <v>416</v>
      </c>
      <c r="CB9" s="486" t="s">
        <v>417</v>
      </c>
      <c r="CC9" s="486" t="s">
        <v>418</v>
      </c>
      <c r="CD9" s="486" t="s">
        <v>419</v>
      </c>
      <c r="CE9" s="486"/>
      <c r="CF9" s="486"/>
      <c r="CG9" s="486"/>
      <c r="CH9" s="486"/>
      <c r="CI9" s="486" t="s">
        <v>502</v>
      </c>
      <c r="CJ9" s="486" t="s">
        <v>420</v>
      </c>
      <c r="CK9" s="486" t="s">
        <v>489</v>
      </c>
      <c r="CL9" s="486" t="s">
        <v>491</v>
      </c>
      <c r="CM9" s="486" t="s">
        <v>493</v>
      </c>
      <c r="CN9" s="486">
        <v>1088</v>
      </c>
      <c r="CO9" s="486">
        <v>720</v>
      </c>
      <c r="CP9" s="486">
        <v>1088</v>
      </c>
      <c r="CQ9" s="734" t="s">
        <v>857</v>
      </c>
      <c r="CR9" s="734" t="s">
        <v>483</v>
      </c>
      <c r="CS9" s="486"/>
      <c r="CT9" s="486"/>
      <c r="CU9" s="486"/>
      <c r="CV9" s="486" t="s">
        <v>500</v>
      </c>
      <c r="CW9" s="486" t="s">
        <v>415</v>
      </c>
      <c r="CX9" s="486" t="s">
        <v>346</v>
      </c>
      <c r="CY9" s="486" t="s">
        <v>443</v>
      </c>
      <c r="CZ9" s="486" t="s">
        <v>444</v>
      </c>
      <c r="DA9" s="486" t="s">
        <v>445</v>
      </c>
      <c r="DB9" s="729" t="s">
        <v>885</v>
      </c>
      <c r="DC9" s="729" t="s">
        <v>886</v>
      </c>
      <c r="DD9" s="486"/>
      <c r="DE9" s="486" t="s">
        <v>244</v>
      </c>
      <c r="DF9" s="486"/>
      <c r="DG9" s="486" t="s">
        <v>449</v>
      </c>
      <c r="DH9" s="486" t="s">
        <v>497</v>
      </c>
      <c r="DI9" s="486" t="s">
        <v>498</v>
      </c>
      <c r="DJ9" s="486" t="s">
        <v>499</v>
      </c>
      <c r="DK9" s="486"/>
      <c r="DL9" s="486"/>
      <c r="DM9" s="486"/>
      <c r="DN9" s="486"/>
      <c r="DO9" s="486"/>
      <c r="DP9" s="486"/>
      <c r="DQ9" s="486"/>
      <c r="DR9" s="486"/>
      <c r="DS9" s="486"/>
      <c r="DT9" s="486"/>
      <c r="DU9" s="486" t="s">
        <v>677</v>
      </c>
      <c r="DV9" s="486" t="s">
        <v>672</v>
      </c>
      <c r="DW9" s="486" t="s">
        <v>673</v>
      </c>
      <c r="DX9" s="486" t="s">
        <v>674</v>
      </c>
      <c r="DY9" s="486" t="s">
        <v>675</v>
      </c>
      <c r="DZ9" s="486"/>
      <c r="EA9" s="486"/>
      <c r="EB9" s="486"/>
      <c r="EC9" s="486"/>
      <c r="ED9" s="486"/>
      <c r="EE9" s="486"/>
      <c r="EF9" s="486"/>
      <c r="EG9" s="486"/>
      <c r="EH9" s="486"/>
      <c r="EI9" s="486"/>
      <c r="EJ9" s="486"/>
      <c r="EK9" s="486"/>
      <c r="EL9" s="734" t="s">
        <v>797</v>
      </c>
      <c r="EM9" s="734" t="s">
        <v>798</v>
      </c>
      <c r="EN9" s="486" t="s">
        <v>796</v>
      </c>
      <c r="EO9" s="1135" t="s">
        <v>887</v>
      </c>
      <c r="EP9" s="1135" t="s">
        <v>894</v>
      </c>
      <c r="EQ9" s="1135" t="s">
        <v>896</v>
      </c>
      <c r="ER9" s="1147">
        <v>1200</v>
      </c>
      <c r="ES9" s="1144"/>
      <c r="ET9" s="1303"/>
      <c r="EU9" s="1303"/>
      <c r="EV9" s="486" t="s">
        <v>838</v>
      </c>
      <c r="EW9" s="486"/>
      <c r="EX9" s="486"/>
      <c r="EY9" s="486"/>
    </row>
    <row r="10" spans="1:155" ht="14.25" customHeight="1">
      <c r="A10" s="138" t="s">
        <v>143</v>
      </c>
      <c r="B10" s="21" t="s">
        <v>406</v>
      </c>
      <c r="C10" s="22" t="s">
        <v>3</v>
      </c>
      <c r="D10" s="23" t="s">
        <v>82</v>
      </c>
      <c r="E10" s="21" t="s">
        <v>82</v>
      </c>
      <c r="F10" s="21" t="s">
        <v>138</v>
      </c>
      <c r="G10" s="6"/>
      <c r="H10" s="137"/>
      <c r="I10" s="184" t="s">
        <v>516</v>
      </c>
      <c r="J10" s="185" t="s">
        <v>514</v>
      </c>
      <c r="K10" s="185" t="s">
        <v>515</v>
      </c>
      <c r="L10" s="185" t="s">
        <v>520</v>
      </c>
      <c r="M10" s="58" t="s">
        <v>509</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759</v>
      </c>
      <c r="AT10" s="64"/>
      <c r="AU10" s="152" t="s">
        <v>760</v>
      </c>
      <c r="AV10" s="64"/>
      <c r="AW10" s="152" t="s">
        <v>761</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762</v>
      </c>
      <c r="BZ10" s="158"/>
      <c r="CA10" s="158"/>
      <c r="CB10" s="158"/>
      <c r="CC10" s="158"/>
      <c r="CD10" s="158"/>
      <c r="CE10" s="158"/>
      <c r="CF10" s="158"/>
      <c r="CG10" s="158"/>
      <c r="CH10" s="158"/>
      <c r="CI10" s="158" t="s">
        <v>504</v>
      </c>
      <c r="CJ10" s="158" t="s">
        <v>303</v>
      </c>
      <c r="CK10" s="158" t="s">
        <v>463</v>
      </c>
      <c r="CL10" s="158" t="s">
        <v>464</v>
      </c>
      <c r="CM10" s="158" t="s">
        <v>465</v>
      </c>
      <c r="CN10" s="158">
        <v>1175</v>
      </c>
      <c r="CO10" s="158">
        <v>0</v>
      </c>
      <c r="CP10" s="293" t="s">
        <v>422</v>
      </c>
      <c r="CQ10" s="158" t="s">
        <v>763</v>
      </c>
      <c r="CR10" s="158"/>
      <c r="CS10" s="158"/>
      <c r="CT10" s="160"/>
      <c r="CU10" s="160"/>
      <c r="CV10" s="160" t="s">
        <v>318</v>
      </c>
      <c r="CW10" s="160" t="s">
        <v>342</v>
      </c>
      <c r="CX10" s="160" t="s">
        <v>345</v>
      </c>
      <c r="CY10" s="160" t="s">
        <v>505</v>
      </c>
      <c r="CZ10" s="160" t="s">
        <v>506</v>
      </c>
      <c r="DA10" s="160" t="s">
        <v>507</v>
      </c>
      <c r="DB10" s="326" t="s">
        <v>517</v>
      </c>
      <c r="DC10" s="325"/>
      <c r="DD10" s="160"/>
      <c r="DE10" s="160" t="s">
        <v>245</v>
      </c>
      <c r="DF10" s="160"/>
      <c r="DG10" s="160" t="s">
        <v>508</v>
      </c>
      <c r="DH10" s="158" t="s">
        <v>436</v>
      </c>
      <c r="DI10" s="158" t="s">
        <v>434</v>
      </c>
      <c r="DJ10" s="158" t="s">
        <v>435</v>
      </c>
      <c r="DK10" s="158"/>
      <c r="DL10" s="158"/>
      <c r="DM10" s="293"/>
      <c r="DN10" s="293"/>
      <c r="DO10" s="293"/>
      <c r="DP10" s="293"/>
      <c r="DQ10" s="293"/>
      <c r="DR10" s="293"/>
      <c r="DS10" s="293"/>
      <c r="DT10" s="293"/>
      <c r="DU10" s="159" t="s">
        <v>606</v>
      </c>
      <c r="DV10" s="293" t="s">
        <v>724</v>
      </c>
      <c r="DW10" s="293" t="s">
        <v>721</v>
      </c>
      <c r="DX10" s="293" t="s">
        <v>722</v>
      </c>
      <c r="DY10" s="293" t="s">
        <v>723</v>
      </c>
      <c r="DZ10" s="293"/>
      <c r="EA10" s="293"/>
      <c r="EB10" s="293"/>
      <c r="EC10" s="293"/>
      <c r="ED10" s="293"/>
      <c r="EE10" s="293"/>
      <c r="EF10" s="293"/>
      <c r="EG10" s="293"/>
      <c r="EH10" s="293"/>
      <c r="EI10" s="293"/>
      <c r="EJ10" s="293"/>
      <c r="EK10" s="293"/>
      <c r="EL10" s="293"/>
      <c r="EM10" s="293"/>
      <c r="EN10" s="293"/>
      <c r="EO10" s="326" t="s">
        <v>768</v>
      </c>
      <c r="EP10" s="326" t="s">
        <v>769</v>
      </c>
      <c r="EQ10" s="326" t="s">
        <v>770</v>
      </c>
      <c r="ER10" s="1148">
        <v>1600</v>
      </c>
      <c r="ES10" s="348"/>
      <c r="ET10" s="1303"/>
      <c r="EU10" s="1303"/>
      <c r="EV10" s="486" t="s">
        <v>840</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808</v>
      </c>
      <c r="J11" s="321" t="s">
        <v>805</v>
      </c>
      <c r="K11" s="321" t="s">
        <v>856</v>
      </c>
      <c r="L11" s="321" t="s">
        <v>816</v>
      </c>
      <c r="M11" s="321" t="s">
        <v>487</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806</v>
      </c>
      <c r="AT11" s="683"/>
      <c r="AU11" s="682" t="s">
        <v>813</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494</v>
      </c>
      <c r="BW11" s="486" t="s">
        <v>257</v>
      </c>
      <c r="BX11" s="486" t="s">
        <v>258</v>
      </c>
      <c r="BY11" s="695" t="s">
        <v>893</v>
      </c>
      <c r="BZ11" s="486" t="s">
        <v>742</v>
      </c>
      <c r="CA11" s="486" t="s">
        <v>293</v>
      </c>
      <c r="CB11" s="486" t="s">
        <v>288</v>
      </c>
      <c r="CC11" s="486" t="s">
        <v>289</v>
      </c>
      <c r="CD11" s="486" t="s">
        <v>290</v>
      </c>
      <c r="CE11" s="695"/>
      <c r="CF11" s="695"/>
      <c r="CG11" s="695"/>
      <c r="CH11" s="695"/>
      <c r="CI11" s="695" t="s">
        <v>484</v>
      </c>
      <c r="CJ11" s="695" t="s">
        <v>301</v>
      </c>
      <c r="CK11" s="486" t="s">
        <v>488</v>
      </c>
      <c r="CL11" s="486" t="s">
        <v>490</v>
      </c>
      <c r="CM11" s="486" t="s">
        <v>492</v>
      </c>
      <c r="CN11" s="486">
        <v>1088</v>
      </c>
      <c r="CO11" s="695">
        <v>1000</v>
      </c>
      <c r="CP11" s="486">
        <v>1088</v>
      </c>
      <c r="CQ11" s="486" t="s">
        <v>860</v>
      </c>
      <c r="CR11" s="486" t="s">
        <v>859</v>
      </c>
      <c r="CS11" s="695"/>
      <c r="CT11" s="486"/>
      <c r="CU11" s="486"/>
      <c r="CV11" s="486" t="s">
        <v>500</v>
      </c>
      <c r="CW11" s="486" t="s">
        <v>339</v>
      </c>
      <c r="CX11" s="486" t="s">
        <v>346</v>
      </c>
      <c r="CY11" s="486" t="s">
        <v>443</v>
      </c>
      <c r="CZ11" s="486" t="s">
        <v>444</v>
      </c>
      <c r="DA11" s="486" t="s">
        <v>445</v>
      </c>
      <c r="DB11" s="334" t="s">
        <v>879</v>
      </c>
      <c r="DC11" s="334" t="s">
        <v>880</v>
      </c>
      <c r="DD11" s="486"/>
      <c r="DE11" s="486" t="s">
        <v>246</v>
      </c>
      <c r="DF11" s="486"/>
      <c r="DG11" s="486" t="s">
        <v>449</v>
      </c>
      <c r="DH11" s="486" t="s">
        <v>497</v>
      </c>
      <c r="DI11" s="486" t="s">
        <v>498</v>
      </c>
      <c r="DJ11" s="486" t="s">
        <v>499</v>
      </c>
      <c r="DK11" s="486"/>
      <c r="DL11" s="486"/>
      <c r="DM11" s="734"/>
      <c r="DN11" s="734"/>
      <c r="DO11" s="734"/>
      <c r="DP11" s="734"/>
      <c r="DQ11" s="734"/>
      <c r="DR11" s="734"/>
      <c r="DS11" s="734"/>
      <c r="DT11" s="734"/>
      <c r="DU11" s="734" t="s">
        <v>677</v>
      </c>
      <c r="DV11" s="734" t="s">
        <v>672</v>
      </c>
      <c r="DW11" s="734" t="s">
        <v>673</v>
      </c>
      <c r="DX11" s="734" t="s">
        <v>674</v>
      </c>
      <c r="DY11" s="734" t="s">
        <v>675</v>
      </c>
      <c r="DZ11" s="734"/>
      <c r="EA11" s="734"/>
      <c r="EB11" s="734"/>
      <c r="EC11" s="734"/>
      <c r="ED11" s="734"/>
      <c r="EE11" s="734"/>
      <c r="EF11" s="734"/>
      <c r="EG11" s="734"/>
      <c r="EH11" s="734"/>
      <c r="EI11" s="734"/>
      <c r="EJ11" s="734"/>
      <c r="EK11" s="734"/>
      <c r="EL11" s="734"/>
      <c r="EM11" s="734"/>
      <c r="EN11" s="734"/>
      <c r="EO11" s="1166" t="s">
        <v>888</v>
      </c>
      <c r="EP11" s="1166" t="s">
        <v>861</v>
      </c>
      <c r="EQ11" s="1166" t="s">
        <v>862</v>
      </c>
      <c r="ER11" s="1149">
        <v>1323</v>
      </c>
      <c r="ES11" s="1145"/>
      <c r="ET11" s="1303"/>
      <c r="EU11" s="1303"/>
      <c r="EV11" s="486" t="s">
        <v>837</v>
      </c>
      <c r="EW11" s="734"/>
      <c r="EX11" s="734"/>
      <c r="EY11" s="734"/>
    </row>
    <row r="12" spans="1:155" s="693" customFormat="1" ht="14.25" customHeight="1">
      <c r="A12" s="721" t="s">
        <v>408</v>
      </c>
      <c r="B12" s="675" t="s">
        <v>406</v>
      </c>
      <c r="C12" s="676" t="s">
        <v>3</v>
      </c>
      <c r="D12" s="677" t="s">
        <v>20</v>
      </c>
      <c r="E12" s="675" t="s">
        <v>20</v>
      </c>
      <c r="F12" s="675">
        <v>31</v>
      </c>
      <c r="G12" s="678"/>
      <c r="H12" s="737"/>
      <c r="I12" s="322" t="s">
        <v>868</v>
      </c>
      <c r="J12" s="321" t="s">
        <v>870</v>
      </c>
      <c r="K12" s="321" t="s">
        <v>872</v>
      </c>
      <c r="L12" s="321" t="s">
        <v>874</v>
      </c>
      <c r="M12" s="321" t="s">
        <v>866</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881</v>
      </c>
      <c r="AT12" s="683"/>
      <c r="AU12" s="682" t="s">
        <v>810</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496</v>
      </c>
      <c r="BW12" s="486" t="s">
        <v>388</v>
      </c>
      <c r="BX12" s="486" t="s">
        <v>389</v>
      </c>
      <c r="BY12" s="695" t="s">
        <v>892</v>
      </c>
      <c r="BZ12" s="486"/>
      <c r="CA12" s="486" t="s">
        <v>293</v>
      </c>
      <c r="CB12" s="486" t="s">
        <v>288</v>
      </c>
      <c r="CC12" s="486" t="s">
        <v>289</v>
      </c>
      <c r="CD12" s="486" t="s">
        <v>290</v>
      </c>
      <c r="CE12" s="695"/>
      <c r="CF12" s="695"/>
      <c r="CG12" s="695"/>
      <c r="CH12" s="695"/>
      <c r="CI12" s="695" t="s">
        <v>484</v>
      </c>
      <c r="CJ12" s="695" t="s">
        <v>301</v>
      </c>
      <c r="CK12" s="486" t="s">
        <v>489</v>
      </c>
      <c r="CL12" s="486" t="s">
        <v>491</v>
      </c>
      <c r="CM12" s="486" t="s">
        <v>493</v>
      </c>
      <c r="CN12" s="734" t="s">
        <v>335</v>
      </c>
      <c r="CO12" s="695">
        <v>2880</v>
      </c>
      <c r="CP12" s="734" t="s">
        <v>310</v>
      </c>
      <c r="CQ12" s="734" t="s">
        <v>858</v>
      </c>
      <c r="CR12" s="734"/>
      <c r="CS12" s="695"/>
      <c r="CT12" s="486"/>
      <c r="CU12" s="486"/>
      <c r="CV12" s="486" t="s">
        <v>500</v>
      </c>
      <c r="CW12" s="486" t="s">
        <v>339</v>
      </c>
      <c r="CX12" s="486" t="s">
        <v>346</v>
      </c>
      <c r="CY12" s="486" t="s">
        <v>443</v>
      </c>
      <c r="CZ12" s="486" t="s">
        <v>444</v>
      </c>
      <c r="DA12" s="486" t="s">
        <v>445</v>
      </c>
      <c r="DB12" s="729" t="s">
        <v>882</v>
      </c>
      <c r="DC12" s="729" t="s">
        <v>883</v>
      </c>
      <c r="DD12" s="486"/>
      <c r="DE12" s="486" t="s">
        <v>247</v>
      </c>
      <c r="DF12" s="486"/>
      <c r="DG12" s="486" t="s">
        <v>449</v>
      </c>
      <c r="DH12" s="486" t="s">
        <v>497</v>
      </c>
      <c r="DI12" s="486" t="s">
        <v>498</v>
      </c>
      <c r="DJ12" s="486" t="s">
        <v>499</v>
      </c>
      <c r="DK12" s="486"/>
      <c r="DL12" s="486"/>
      <c r="DM12" s="734"/>
      <c r="DN12" s="734"/>
      <c r="DO12" s="734"/>
      <c r="DP12" s="734"/>
      <c r="DQ12" s="734"/>
      <c r="DR12" s="734"/>
      <c r="DS12" s="734"/>
      <c r="DT12" s="734"/>
      <c r="DU12" s="734" t="s">
        <v>677</v>
      </c>
      <c r="DV12" s="734" t="s">
        <v>672</v>
      </c>
      <c r="DW12" s="734" t="s">
        <v>673</v>
      </c>
      <c r="DX12" s="734" t="s">
        <v>674</v>
      </c>
      <c r="DY12" s="734" t="s">
        <v>675</v>
      </c>
      <c r="DZ12" s="734"/>
      <c r="EA12" s="734"/>
      <c r="EB12" s="734"/>
      <c r="EC12" s="734"/>
      <c r="ED12" s="734"/>
      <c r="EE12" s="734"/>
      <c r="EF12" s="734"/>
      <c r="EG12" s="734"/>
      <c r="EH12" s="734"/>
      <c r="EI12" s="734"/>
      <c r="EJ12" s="734"/>
      <c r="EK12" s="734"/>
      <c r="EL12" s="734" t="s">
        <v>797</v>
      </c>
      <c r="EM12" s="734" t="s">
        <v>798</v>
      </c>
      <c r="EN12" s="486" t="s">
        <v>796</v>
      </c>
      <c r="EO12" s="1135" t="s">
        <v>890</v>
      </c>
      <c r="EP12" s="1135" t="s">
        <v>895</v>
      </c>
      <c r="EQ12" s="1135" t="s">
        <v>897</v>
      </c>
      <c r="ER12" s="1147">
        <v>680</v>
      </c>
      <c r="ES12" s="1146"/>
      <c r="ET12" s="1303"/>
      <c r="EU12" s="1303"/>
      <c r="EV12" s="486" t="s">
        <v>837</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512</v>
      </c>
      <c r="J15" s="321" t="s">
        <v>776</v>
      </c>
      <c r="K15" s="321" t="s">
        <v>784</v>
      </c>
      <c r="L15" s="321" t="s">
        <v>789</v>
      </c>
      <c r="M15" s="321" t="s">
        <v>511</v>
      </c>
      <c r="N15" s="321" t="s">
        <v>327</v>
      </c>
      <c r="O15" s="680" t="s">
        <v>328</v>
      </c>
      <c r="P15" s="321" t="s">
        <v>474</v>
      </c>
      <c r="Q15" s="321" t="s">
        <v>475</v>
      </c>
      <c r="R15" s="321" t="s">
        <v>476</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741</v>
      </c>
      <c r="AT15" s="683" t="s">
        <v>735</v>
      </c>
      <c r="AU15" s="682" t="s">
        <v>521</v>
      </c>
      <c r="AV15" s="683" t="s">
        <v>736</v>
      </c>
      <c r="AW15" s="682" t="s">
        <v>522</v>
      </c>
      <c r="AX15" s="683" t="s">
        <v>737</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764</v>
      </c>
      <c r="BZ15" s="692" t="s">
        <v>848</v>
      </c>
      <c r="CA15" s="691"/>
      <c r="CB15" s="691"/>
      <c r="CC15" s="691"/>
      <c r="CD15" s="691"/>
      <c r="CE15" s="691"/>
      <c r="CF15" s="691"/>
      <c r="CG15" s="691"/>
      <c r="CH15" s="691"/>
      <c r="CI15" s="691" t="s">
        <v>486</v>
      </c>
      <c r="CJ15" s="691" t="s">
        <v>401</v>
      </c>
      <c r="CK15" s="691" t="s">
        <v>466</v>
      </c>
      <c r="CL15" s="691" t="s">
        <v>467</v>
      </c>
      <c r="CM15" s="691" t="s">
        <v>468</v>
      </c>
      <c r="CN15" s="691">
        <v>1262</v>
      </c>
      <c r="CO15" s="691">
        <v>6600</v>
      </c>
      <c r="CP15" s="691">
        <v>1262</v>
      </c>
      <c r="CQ15" s="692" t="s">
        <v>513</v>
      </c>
      <c r="CR15" s="692" t="s">
        <v>849</v>
      </c>
      <c r="CS15" s="691" t="s">
        <v>393</v>
      </c>
      <c r="CT15" s="486"/>
      <c r="CU15" s="486"/>
      <c r="CV15" s="486" t="s">
        <v>378</v>
      </c>
      <c r="CW15" s="486" t="s">
        <v>340</v>
      </c>
      <c r="CX15" s="486" t="s">
        <v>161</v>
      </c>
      <c r="CY15" s="486"/>
      <c r="CZ15" s="486"/>
      <c r="DA15" s="486"/>
      <c r="DB15" s="334" t="s">
        <v>777</v>
      </c>
      <c r="DC15" s="334" t="s">
        <v>778</v>
      </c>
      <c r="DD15" s="486"/>
      <c r="DE15" s="486" t="s">
        <v>519</v>
      </c>
      <c r="DF15" s="486" t="s">
        <v>414</v>
      </c>
      <c r="DG15" s="486"/>
      <c r="DH15" s="691" t="s">
        <v>431</v>
      </c>
      <c r="DI15" s="691" t="s">
        <v>432</v>
      </c>
      <c r="DJ15" s="691" t="s">
        <v>433</v>
      </c>
      <c r="DK15" s="691"/>
      <c r="DL15" s="691"/>
      <c r="DM15" s="691"/>
      <c r="DN15" s="691"/>
      <c r="DO15" s="691"/>
      <c r="DP15" s="691"/>
      <c r="DQ15" s="691"/>
      <c r="DR15" s="691"/>
      <c r="DS15" s="691"/>
      <c r="DT15" s="691"/>
      <c r="DU15" s="691" t="s">
        <v>605</v>
      </c>
      <c r="DV15" s="691"/>
      <c r="DW15" s="691"/>
      <c r="DX15" s="691"/>
      <c r="DY15" s="691"/>
      <c r="DZ15" s="691"/>
      <c r="EA15" s="691"/>
      <c r="EB15" s="691" t="s">
        <v>740</v>
      </c>
      <c r="EC15" s="691" t="s">
        <v>613</v>
      </c>
      <c r="ED15" s="691"/>
      <c r="EE15" s="691">
        <v>6000</v>
      </c>
      <c r="EF15" s="691">
        <v>650</v>
      </c>
      <c r="EG15" s="691"/>
      <c r="EH15" s="691"/>
      <c r="EI15" s="691" t="s">
        <v>614</v>
      </c>
      <c r="EJ15" s="691"/>
      <c r="EK15" s="691"/>
      <c r="EL15" s="691"/>
      <c r="EM15" s="691"/>
      <c r="EN15" s="691"/>
      <c r="EO15" s="1134" t="s">
        <v>807</v>
      </c>
      <c r="EP15" s="1134" t="s">
        <v>811</v>
      </c>
      <c r="EQ15" s="1134" t="s">
        <v>819</v>
      </c>
      <c r="ER15" s="1150" t="s">
        <v>767</v>
      </c>
      <c r="ES15" s="1145"/>
      <c r="ET15" s="1303"/>
      <c r="EU15" s="1303"/>
      <c r="EV15" s="486" t="s">
        <v>836</v>
      </c>
      <c r="EW15" s="691"/>
      <c r="EX15" s="691"/>
      <c r="EY15" s="691"/>
    </row>
    <row r="16" spans="1:155" ht="14.25" customHeight="1">
      <c r="A16" s="7" t="s">
        <v>408</v>
      </c>
      <c r="B16" s="21" t="s">
        <v>406</v>
      </c>
      <c r="C16" s="22" t="s">
        <v>3</v>
      </c>
      <c r="D16" s="23" t="s">
        <v>20</v>
      </c>
      <c r="E16" s="21" t="s">
        <v>20</v>
      </c>
      <c r="F16" s="21">
        <v>31</v>
      </c>
      <c r="G16" s="6"/>
      <c r="H16" s="24"/>
      <c r="I16" s="25" t="s">
        <v>512</v>
      </c>
      <c r="J16" s="26" t="s">
        <v>779</v>
      </c>
      <c r="K16" s="26" t="s">
        <v>785</v>
      </c>
      <c r="L16" s="26" t="s">
        <v>790</v>
      </c>
      <c r="M16" s="26" t="s">
        <v>511</v>
      </c>
      <c r="N16" s="26" t="s">
        <v>150</v>
      </c>
      <c r="O16" s="58" t="s">
        <v>228</v>
      </c>
      <c r="P16" s="26" t="s">
        <v>474</v>
      </c>
      <c r="Q16" s="26" t="s">
        <v>475</v>
      </c>
      <c r="R16" s="26" t="s">
        <v>476</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780</v>
      </c>
      <c r="AT16" s="27"/>
      <c r="AU16" s="50" t="s">
        <v>786</v>
      </c>
      <c r="AV16" s="27"/>
      <c r="AW16" s="50" t="s">
        <v>791</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524</v>
      </c>
      <c r="BZ16" s="161"/>
      <c r="CA16" s="161"/>
      <c r="CB16" s="161"/>
      <c r="CC16" s="161"/>
      <c r="CD16" s="161"/>
      <c r="CE16" s="161"/>
      <c r="CF16" s="161"/>
      <c r="CG16" s="161"/>
      <c r="CH16" s="161"/>
      <c r="CI16" s="161" t="s">
        <v>486</v>
      </c>
      <c r="CJ16" s="161" t="s">
        <v>401</v>
      </c>
      <c r="CK16" s="159" t="s">
        <v>466</v>
      </c>
      <c r="CL16" s="159" t="s">
        <v>467</v>
      </c>
      <c r="CM16" s="159" t="s">
        <v>468</v>
      </c>
      <c r="CN16" s="293" t="s">
        <v>335</v>
      </c>
      <c r="CO16" s="161">
        <v>2880</v>
      </c>
      <c r="CP16" s="218" t="s">
        <v>311</v>
      </c>
      <c r="CQ16" s="218" t="s">
        <v>513</v>
      </c>
      <c r="CR16" s="218"/>
      <c r="CS16" s="159" t="s">
        <v>393</v>
      </c>
      <c r="CT16" s="160"/>
      <c r="CU16" s="160"/>
      <c r="CV16" s="160" t="s">
        <v>378</v>
      </c>
      <c r="CW16" s="160" t="s">
        <v>340</v>
      </c>
      <c r="CX16" s="160" t="s">
        <v>161</v>
      </c>
      <c r="CY16" s="160"/>
      <c r="CZ16" s="160"/>
      <c r="DA16" s="160"/>
      <c r="DB16" s="151" t="s">
        <v>781</v>
      </c>
      <c r="DC16" s="151" t="s">
        <v>782</v>
      </c>
      <c r="DD16" s="160"/>
      <c r="DE16" s="160" t="s">
        <v>519</v>
      </c>
      <c r="DF16" s="160" t="s">
        <v>414</v>
      </c>
      <c r="DG16" s="486"/>
      <c r="DH16" s="159" t="s">
        <v>431</v>
      </c>
      <c r="DI16" s="159" t="s">
        <v>432</v>
      </c>
      <c r="DJ16" s="159" t="s">
        <v>433</v>
      </c>
      <c r="DK16" s="159"/>
      <c r="DL16" s="159"/>
      <c r="DM16" s="159"/>
      <c r="DN16" s="159"/>
      <c r="DO16" s="159"/>
      <c r="DP16" s="159"/>
      <c r="DQ16" s="159"/>
      <c r="DR16" s="159"/>
      <c r="DS16" s="159"/>
      <c r="DT16" s="159"/>
      <c r="DU16" s="159" t="s">
        <v>605</v>
      </c>
      <c r="DV16" s="159"/>
      <c r="DW16" s="159"/>
      <c r="DX16" s="159"/>
      <c r="DY16" s="159"/>
      <c r="DZ16" s="159"/>
      <c r="EA16" s="159"/>
      <c r="EB16" s="159"/>
      <c r="EC16" s="159"/>
      <c r="ED16" s="159"/>
      <c r="EE16" s="159"/>
      <c r="EF16" s="159"/>
      <c r="EG16" s="159"/>
      <c r="EH16" s="159"/>
      <c r="EI16" s="159" t="s">
        <v>614</v>
      </c>
      <c r="EJ16" s="159"/>
      <c r="EK16" s="159"/>
      <c r="EL16" s="159"/>
      <c r="EM16" s="159"/>
      <c r="EN16" s="159"/>
      <c r="EO16" s="1134" t="s">
        <v>783</v>
      </c>
      <c r="EP16" s="1134" t="s">
        <v>787</v>
      </c>
      <c r="EQ16" s="1134" t="s">
        <v>792</v>
      </c>
      <c r="ER16" s="1149">
        <v>1000</v>
      </c>
      <c r="ES16" s="1145"/>
      <c r="ET16" s="1303"/>
      <c r="EU16" s="1303"/>
      <c r="EV16" s="486" t="s">
        <v>836</v>
      </c>
      <c r="EW16" s="159"/>
      <c r="EX16" s="159"/>
      <c r="EY16" s="159"/>
    </row>
    <row r="17" spans="1:155" ht="14.25" customHeight="1">
      <c r="A17" s="7" t="s">
        <v>143</v>
      </c>
      <c r="B17" s="21" t="s">
        <v>406</v>
      </c>
      <c r="C17" s="22" t="s">
        <v>3</v>
      </c>
      <c r="D17" s="23" t="s">
        <v>82</v>
      </c>
      <c r="E17" s="21" t="s">
        <v>82</v>
      </c>
      <c r="F17" s="21" t="s">
        <v>138</v>
      </c>
      <c r="G17" s="6"/>
      <c r="H17" s="24"/>
      <c r="I17" s="25" t="s">
        <v>144</v>
      </c>
      <c r="J17" s="26" t="s">
        <v>830</v>
      </c>
      <c r="K17" s="26" t="s">
        <v>146</v>
      </c>
      <c r="L17" s="26" t="s">
        <v>788</v>
      </c>
      <c r="M17" s="26" t="s">
        <v>510</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525</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729</v>
      </c>
      <c r="BZ17" s="178" t="s">
        <v>739</v>
      </c>
      <c r="CA17" s="158"/>
      <c r="CB17" s="158"/>
      <c r="CC17" s="158"/>
      <c r="CD17" s="158"/>
      <c r="CE17" s="158"/>
      <c r="CF17" s="158"/>
      <c r="CG17" s="158"/>
      <c r="CH17" s="158"/>
      <c r="CI17" s="158" t="s">
        <v>503</v>
      </c>
      <c r="CJ17" s="158" t="s">
        <v>302</v>
      </c>
      <c r="CK17" s="158" t="s">
        <v>469</v>
      </c>
      <c r="CL17" s="158" t="s">
        <v>470</v>
      </c>
      <c r="CM17" s="158" t="s">
        <v>470</v>
      </c>
      <c r="CN17" s="158">
        <v>1175</v>
      </c>
      <c r="CO17" s="158">
        <v>1800</v>
      </c>
      <c r="CP17" s="293" t="s">
        <v>421</v>
      </c>
      <c r="CQ17" s="158" t="s">
        <v>738</v>
      </c>
      <c r="CR17" s="158"/>
      <c r="CS17" s="158" t="s">
        <v>618</v>
      </c>
      <c r="CT17" s="160"/>
      <c r="CU17" s="160"/>
      <c r="CV17" s="160" t="s">
        <v>317</v>
      </c>
      <c r="CW17" s="160" t="s">
        <v>341</v>
      </c>
      <c r="CX17" s="160" t="s">
        <v>344</v>
      </c>
      <c r="CY17" s="160"/>
      <c r="CZ17" s="160"/>
      <c r="DA17" s="160"/>
      <c r="DB17" s="326" t="s">
        <v>775</v>
      </c>
      <c r="DC17" s="332"/>
      <c r="DD17" s="160"/>
      <c r="DE17" s="333" t="s">
        <v>518</v>
      </c>
      <c r="DF17" s="333" t="s">
        <v>145</v>
      </c>
      <c r="DG17" s="486"/>
      <c r="DH17" s="158" t="s">
        <v>439</v>
      </c>
      <c r="DI17" s="158" t="s">
        <v>437</v>
      </c>
      <c r="DJ17" s="158" t="s">
        <v>438</v>
      </c>
      <c r="DK17" s="158"/>
      <c r="DL17" s="158"/>
      <c r="DM17" s="159"/>
      <c r="DN17" s="159"/>
      <c r="DO17" s="159"/>
      <c r="DP17" s="159"/>
      <c r="DQ17" s="159"/>
      <c r="DR17" s="159"/>
      <c r="DS17" s="159"/>
      <c r="DT17" s="159"/>
      <c r="DU17" s="159" t="s">
        <v>606</v>
      </c>
      <c r="DV17" s="159"/>
      <c r="DW17" s="159"/>
      <c r="DX17" s="159"/>
      <c r="DY17" s="159"/>
      <c r="DZ17" s="159"/>
      <c r="EA17" s="159"/>
      <c r="EB17" s="159" t="s">
        <v>612</v>
      </c>
      <c r="EC17" s="159" t="s">
        <v>615</v>
      </c>
      <c r="ED17" s="159"/>
      <c r="EE17" s="159">
        <v>1200</v>
      </c>
      <c r="EF17" s="159">
        <v>600</v>
      </c>
      <c r="EG17" s="159"/>
      <c r="EH17" s="159"/>
      <c r="EI17" s="159" t="s">
        <v>617</v>
      </c>
      <c r="EJ17" s="159"/>
      <c r="EK17" s="159"/>
      <c r="EL17" s="159"/>
      <c r="EM17" s="159"/>
      <c r="EN17" s="159"/>
      <c r="EO17" s="326" t="s">
        <v>775</v>
      </c>
      <c r="EP17" s="326" t="s">
        <v>146</v>
      </c>
      <c r="EQ17" s="326" t="s">
        <v>788</v>
      </c>
      <c r="ER17" s="1148">
        <v>1600</v>
      </c>
      <c r="ES17" s="348"/>
      <c r="ET17" s="1303"/>
      <c r="EU17" s="1303"/>
      <c r="EV17" s="486" t="s">
        <v>839</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cwbDs3kb4vD7txE75Wo8R4/q2mycRiwoYkAQYh96z4njkwdtojRyGkA/bK2/UpxVZkv8qxQ7OKSet6oTr6krA==" saltValue="GMm2dP+akK00k+W/zqSUR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ISLAS BALEARES</v>
      </c>
      <c r="F1" s="531"/>
    </row>
    <row r="2" spans="1:74" ht="16.5" customHeight="1">
      <c r="C2" s="520" t="str">
        <f>Criterios!A10 &amp;"  "&amp;Criterios!B10 &amp; "  " &amp; IF(NOT(ISBLANK(Criterios!A11)),Criterios!A11 &amp;"  "&amp;Criterios!B11,"")</f>
        <v>Provincias  ILLES BALEARS  Resumenes por Partidos Judiciales  INCA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556</v>
      </c>
      <c r="F5" s="1688" t="s">
        <v>410</v>
      </c>
      <c r="G5" s="1659" t="s">
        <v>128</v>
      </c>
      <c r="H5" s="1659" t="s">
        <v>586</v>
      </c>
      <c r="I5" s="1659" t="s">
        <v>557</v>
      </c>
      <c r="J5" s="1659" t="s">
        <v>664</v>
      </c>
      <c r="K5" s="1659" t="s">
        <v>665</v>
      </c>
      <c r="L5" s="1659" t="s">
        <v>558</v>
      </c>
      <c r="M5" s="1659" t="s">
        <v>526</v>
      </c>
      <c r="N5" s="1659" t="s">
        <v>666</v>
      </c>
      <c r="O5" s="1691" t="s">
        <v>584</v>
      </c>
      <c r="P5" s="1659" t="s">
        <v>684</v>
      </c>
      <c r="Q5" s="1659" t="s">
        <v>679</v>
      </c>
      <c r="R5" s="1659" t="s">
        <v>170</v>
      </c>
      <c r="S5" s="1694" t="s">
        <v>676</v>
      </c>
      <c r="T5" s="1694" t="s">
        <v>678</v>
      </c>
      <c r="U5" s="1659" t="s">
        <v>587</v>
      </c>
      <c r="V5" s="1694" t="s">
        <v>559</v>
      </c>
      <c r="W5" s="1659" t="s">
        <v>771</v>
      </c>
      <c r="X5" s="1659" t="s">
        <v>772</v>
      </c>
      <c r="Y5" s="1662" t="s">
        <v>667</v>
      </c>
      <c r="Z5" s="1677" t="s">
        <v>609</v>
      </c>
      <c r="AA5" s="1680" t="s">
        <v>560</v>
      </c>
      <c r="AB5" s="1677" t="s">
        <v>561</v>
      </c>
      <c r="AC5" s="1677" t="s">
        <v>562</v>
      </c>
      <c r="AD5" s="1656" t="s">
        <v>668</v>
      </c>
      <c r="AE5" s="1656" t="s">
        <v>799</v>
      </c>
      <c r="AF5" s="1659" t="s">
        <v>680</v>
      </c>
      <c r="AG5" s="1659" t="s">
        <v>527</v>
      </c>
      <c r="AH5" s="1659" t="s">
        <v>669</v>
      </c>
      <c r="AI5" s="1659" t="s">
        <v>181</v>
      </c>
      <c r="AJ5" s="1659" t="s">
        <v>734</v>
      </c>
      <c r="AK5" s="1659" t="s">
        <v>528</v>
      </c>
      <c r="AL5" s="1659" t="s">
        <v>529</v>
      </c>
      <c r="AM5" s="1659" t="s">
        <v>685</v>
      </c>
      <c r="AN5" s="1659" t="s">
        <v>530</v>
      </c>
      <c r="AO5" s="1659" t="s">
        <v>531</v>
      </c>
      <c r="AP5" s="1659" t="s">
        <v>532</v>
      </c>
      <c r="AQ5" s="1659" t="s">
        <v>533</v>
      </c>
      <c r="AR5" s="1659" t="s">
        <v>670</v>
      </c>
      <c r="AS5" s="1659" t="s">
        <v>184</v>
      </c>
      <c r="AT5" s="1665" t="s">
        <v>182</v>
      </c>
      <c r="AU5" s="1659" t="s">
        <v>681</v>
      </c>
      <c r="AV5" s="1668" t="s">
        <v>682</v>
      </c>
      <c r="AW5" s="1671" t="s">
        <v>535</v>
      </c>
      <c r="AX5" s="1659" t="s">
        <v>536</v>
      </c>
      <c r="AY5" s="1659" t="s">
        <v>607</v>
      </c>
      <c r="AZ5" s="1674" t="s">
        <v>608</v>
      </c>
      <c r="BA5" s="1659" t="s">
        <v>564</v>
      </c>
      <c r="BB5" s="1668" t="s">
        <v>565</v>
      </c>
      <c r="BC5" s="1671" t="s">
        <v>185</v>
      </c>
      <c r="BD5" s="1659" t="s">
        <v>566</v>
      </c>
      <c r="BE5" s="1659" t="s">
        <v>250</v>
      </c>
      <c r="BF5" s="1659" t="s">
        <v>251</v>
      </c>
      <c r="BG5" s="1659" t="s">
        <v>252</v>
      </c>
      <c r="BH5" s="1659" t="s">
        <v>567</v>
      </c>
      <c r="BI5" s="1659" t="s">
        <v>253</v>
      </c>
      <c r="BJ5" s="1659" t="s">
        <v>568</v>
      </c>
      <c r="BK5" s="1659" t="s">
        <v>582</v>
      </c>
      <c r="BL5" s="1659" t="s">
        <v>569</v>
      </c>
      <c r="BM5" s="1659" t="s">
        <v>570</v>
      </c>
      <c r="BN5" s="1659" t="s">
        <v>595</v>
      </c>
      <c r="BO5" s="1659" t="s">
        <v>588</v>
      </c>
      <c r="BP5" s="1659" t="s">
        <v>842</v>
      </c>
      <c r="BQ5" s="1659" t="s">
        <v>845</v>
      </c>
      <c r="BR5" s="1659" t="s">
        <v>847</v>
      </c>
      <c r="BS5" s="1659" t="s">
        <v>589</v>
      </c>
      <c r="BT5" s="1659" t="s">
        <v>571</v>
      </c>
      <c r="BU5" s="1659" t="s">
        <v>534</v>
      </c>
      <c r="BV5" s="1683" t="s">
        <v>773</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249</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78</v>
      </c>
      <c r="O9" s="503"/>
      <c r="P9" s="503"/>
      <c r="Q9" s="501">
        <f>IF(ISNUMBER(Datos!P9),Datos!P9,0)</f>
        <v>380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218</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155</v>
      </c>
      <c r="AI9" s="503" t="str">
        <f>IF(ISNUMBER(Datos!CD9),Datos!CD9,"-")</f>
        <v>-</v>
      </c>
      <c r="AJ9" s="503" t="str">
        <f>IF(ISNUMBER(Datos!EN9),Datos!EN9," - ")</f>
        <v xml:space="preserve"> - </v>
      </c>
      <c r="AK9" s="503"/>
      <c r="AL9" s="504"/>
      <c r="AM9" s="671">
        <f>IF(ISNUMBER(Datos!R9),Datos!R9," - ")</f>
        <v>8766</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355</v>
      </c>
      <c r="BD9" s="619">
        <f>IF(ISNUMBER(Datos!N9),Datos!N9," - ")</f>
        <v>547</v>
      </c>
      <c r="BE9" s="619" t="str">
        <f>IF(ISNUMBER(Datos!BW9),Datos!BW9," - ")</f>
        <v xml:space="preserve"> - </v>
      </c>
      <c r="BF9" s="667" t="str">
        <f>IF(ISNUMBER(Datos!BX9),Datos!BX9," - ")</f>
        <v xml:space="preserve"> - </v>
      </c>
      <c r="BG9" s="668">
        <f>IF(ISNUMBER(IF(J_V="SI",Datos!K9/Datos!J9,(Datos!K9+Datos!AA9)/(Datos!J9+Datos!Z9))),IF(J_V="SI",Datos!K9/Datos!J9,(Datos!K9+Datos!AA9)/(Datos!J9+Datos!Z9))," - ")</f>
        <v>0.81775147928994085</v>
      </c>
      <c r="BH9" s="669">
        <f>IF(ISNUMBER(((IF(J_V="SI",Datos!L9/Datos!K9,(Datos!L9+Datos!AB9)/(Datos!K9+Datos!AA9)))*11)/factor_trimestre),((IF(J_V="SI",Datos!L9/Datos!K9,(Datos!L9+Datos!AB9)/(Datos!K9+Datos!AA9)))*11)/factor_trimestre," - ")</f>
        <v>9.0144717800289431</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1.8828451882845189E-2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75</v>
      </c>
      <c r="G10" s="497">
        <f>IF(ISNUMBER(Datos!I10),Datos!I10," - ")</f>
        <v>75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19</v>
      </c>
      <c r="AC10" s="501">
        <f>IF(ISNUMBER(Datos!Q10),Datos!Q10," - ")</f>
        <v>0</v>
      </c>
      <c r="AD10" s="503"/>
      <c r="AE10" s="516"/>
      <c r="AF10" s="505">
        <f>IF(ISNUMBER(Datos!L10),Datos!L10,"-")</f>
        <v>75</v>
      </c>
      <c r="AG10" s="503"/>
      <c r="AH10" s="503"/>
      <c r="AI10" s="503"/>
      <c r="AJ10" s="503"/>
      <c r="AK10" s="503"/>
      <c r="AL10" s="504"/>
      <c r="AM10" s="671">
        <f>IF(ISNUMBER(Datos!R10),Datos!R10," - ")</f>
        <v>65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13</v>
      </c>
      <c r="BD10" s="619">
        <f>IF(ISNUMBER(Datos!N10),Datos!N10," - ")</f>
        <v>4</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7.8947368421052628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5</v>
      </c>
      <c r="F13" s="1044">
        <f t="shared" si="0"/>
        <v>75</v>
      </c>
      <c r="G13" s="1044">
        <f t="shared" si="0"/>
        <v>75</v>
      </c>
      <c r="H13" s="1045">
        <f t="shared" si="0"/>
        <v>0</v>
      </c>
      <c r="I13" s="1044">
        <f t="shared" si="0"/>
        <v>0</v>
      </c>
      <c r="J13" s="1013">
        <f t="shared" si="0"/>
        <v>0</v>
      </c>
      <c r="K13" s="1013">
        <f t="shared" si="0"/>
        <v>0</v>
      </c>
      <c r="L13" s="1045">
        <f t="shared" si="0"/>
        <v>0</v>
      </c>
      <c r="M13" s="1045">
        <f t="shared" si="0"/>
        <v>0</v>
      </c>
      <c r="N13" s="1045">
        <f t="shared" si="0"/>
        <v>78</v>
      </c>
      <c r="O13" s="1046">
        <f t="shared" si="0"/>
        <v>0</v>
      </c>
      <c r="P13" s="1046">
        <f t="shared" si="0"/>
        <v>0</v>
      </c>
      <c r="Q13" s="1045">
        <f t="shared" si="0"/>
        <v>380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19</v>
      </c>
      <c r="AC13" s="1045">
        <f t="shared" si="1"/>
        <v>218</v>
      </c>
      <c r="AD13" s="1045">
        <f t="shared" si="1"/>
        <v>0</v>
      </c>
      <c r="AE13" s="1045">
        <f t="shared" si="1"/>
        <v>0</v>
      </c>
      <c r="AF13" s="1045">
        <f t="shared" si="1"/>
        <v>75</v>
      </c>
      <c r="AG13" s="1045">
        <f t="shared" si="1"/>
        <v>0</v>
      </c>
      <c r="AH13" s="1045">
        <f t="shared" si="1"/>
        <v>155</v>
      </c>
      <c r="AI13" s="1045">
        <f t="shared" si="1"/>
        <v>0</v>
      </c>
      <c r="AJ13" s="1045">
        <f t="shared" si="1"/>
        <v>0</v>
      </c>
      <c r="AK13" s="1045">
        <f t="shared" si="1"/>
        <v>0</v>
      </c>
      <c r="AL13" s="1045">
        <f t="shared" si="1"/>
        <v>0</v>
      </c>
      <c r="AM13" s="1045">
        <f t="shared" si="1"/>
        <v>8831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368</v>
      </c>
      <c r="BD13" s="1045">
        <f t="shared" si="1"/>
        <v>551</v>
      </c>
      <c r="BE13" s="1045">
        <f t="shared" si="1"/>
        <v>0</v>
      </c>
      <c r="BF13" s="1045">
        <f t="shared" si="1"/>
        <v>0</v>
      </c>
      <c r="BG13" s="1045">
        <f>IF(ISNUMBER(Datos!K13/Datos!J13),Datos!K13/Datos!J13," - ")</f>
        <v>0.81361128142244021</v>
      </c>
      <c r="BH13" s="1049">
        <f>IF(ISNUMBER(((Datos!L13/Datos!K13)*11)/factor_trimestre),((Datos!L13/Datos!K13)*11)/factor_trimestre," - ")</f>
        <v>9.2675207234363217</v>
      </c>
      <c r="BI13" s="1045">
        <f>IF(ISNUMBER('Resol  Asuntos'!D13/NºAsuntos!G13),'Resol  Asuntos'!D13/NºAsuntos!G13," - ")</f>
        <v>0.26266952177016417</v>
      </c>
      <c r="BJ13" s="1045" t="str">
        <f>IF(ISNUMBER(Datos!CI13/Datos!CJ13),Datos!CI13/Datos!CJ13," - ")</f>
        <v xml:space="preserve"> - </v>
      </c>
      <c r="BK13" s="1045">
        <f>SUBTOTAL(9,BK8:BK12)</f>
        <v>0</v>
      </c>
      <c r="BL13" s="1045">
        <f>IF(ISNUMBER((I13-AB13+L13)/(F13)),(I13-AB13+L13)/(F13)," - ")</f>
        <v>-0.25333333333333335</v>
      </c>
      <c r="BM13" s="1050">
        <f>SUBTOTAL(9,BM9:BM12)</f>
        <v>1.8828451882845189E-2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400</v>
      </c>
      <c r="C15" s="656" t="str">
        <f>Datos!A15</f>
        <v xml:space="preserve">Jdos. Instrucción                               </v>
      </c>
      <c r="D15" s="657"/>
      <c r="E15" s="1330">
        <f>IF(ISNUMBER(Datos!AQ15),Datos!AQ15," - ")</f>
        <v>3</v>
      </c>
      <c r="F15" s="647">
        <f>IF(ISNUMBER(AF15+AB15-Datos!J15-L15),AF15+AB15-Datos!J15-L15," - ")</f>
        <v>2684</v>
      </c>
      <c r="G15" s="650">
        <f>IF(ISNUMBER(IF(D_I="SI",Datos!I15,Datos!I15+Datos!AC15)),IF(D_I="SI",Datos!I15,Datos!I15+Datos!AC15)," - ")</f>
        <v>2684</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14</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980</v>
      </c>
      <c r="AC15" s="230">
        <f>IF(ISNUMBER(Datos!Q15),Datos!Q15," - ")</f>
        <v>12</v>
      </c>
      <c r="AD15" s="343"/>
      <c r="AE15" s="515"/>
      <c r="AF15" s="648">
        <f>IF(ISNUMBER(IF(D_I="SI",Datos!L15,Datos!L15+Datos!AF15)),IF(D_I="SI",Datos!L15,Datos!L15+Datos!AF15)," - ")</f>
        <v>3059</v>
      </c>
      <c r="AG15" s="343"/>
      <c r="AH15" s="343"/>
      <c r="AI15" s="343"/>
      <c r="AJ15" s="503"/>
      <c r="AK15" s="343"/>
      <c r="AL15" s="499"/>
      <c r="AM15" s="344">
        <f>IF(ISNUMBER(Datos!R15),Datos!R15," - ")</f>
        <v>150</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147</v>
      </c>
      <c r="BD15" s="233">
        <f>IF(ISNUMBER(Datos!N15),Datos!N15," - ")</f>
        <v>597</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0.7232472324723247</v>
      </c>
      <c r="BH15" s="669">
        <f>IF(ISNUMBER(((IF(D_I="SI",Datos!L15/Datos!K15,(Datos!L15+Datos!AF15)/(Datos!K15+Datos!AE15)))*11)/factor_trimestre),((IF(D_I="SI",Datos!L15/Datos!K15,(Datos!L15+Datos!AF15)/(Datos!K15+Datos!AE15)))*11)/factor_trimestre," - ")</f>
        <v>6.2428571428571438</v>
      </c>
      <c r="BI15" s="247">
        <f>IF(ISNUMBER('Resol  Asuntos'!D15/NºAsuntos!G15),'Resol  Asuntos'!D15/NºAsuntos!G15," - ")</f>
        <v>0.15</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f>IF(ISNUMBER(AF16+AB16-Datos!J16-L16),AF16+AB16-Datos!J16-L16," - ")</f>
        <v>3</v>
      </c>
      <c r="G16" s="650">
        <f>IF(ISNUMBER(IF(D_I="SI",Datos!I16,Datos!I16+Datos!AC16)),IF(D_I="SI",Datos!I16,Datos!I16+Datos!AC16)," - ")</f>
        <v>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0</v>
      </c>
      <c r="AC16" s="230">
        <f>IF(ISNUMBER(Datos!Q16),Datos!Q16," - ")</f>
        <v>0</v>
      </c>
      <c r="AD16" s="343"/>
      <c r="AE16" s="515"/>
      <c r="AF16" s="648">
        <f>IF(ISNUMBER(IF(D_I="SI",Datos!L16,Datos!L16+Datos!AF16)),IF(D_I="SI",Datos!L16,Datos!L16+Datos!AF16)," - ")</f>
        <v>3</v>
      </c>
      <c r="AG16" s="343"/>
      <c r="AH16" s="343"/>
      <c r="AI16" s="343"/>
      <c r="AJ16" s="503"/>
      <c r="AK16" s="343"/>
      <c r="AL16" s="499"/>
      <c r="AM16" s="344">
        <f>IF(ISNUMBER(Datos!R16),Datos!R16," - ")</f>
        <v>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0</v>
      </c>
      <c r="BD16" s="233">
        <f>IF(ISNUMBER(Datos!N16),Datos!N16," - ")</f>
        <v>0</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273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246</v>
      </c>
      <c r="AC17" s="501">
        <f>IF(ISNUMBER(Datos!Q17),Datos!Q17," - ")</f>
        <v>1</v>
      </c>
      <c r="AD17" s="503"/>
      <c r="AE17" s="515"/>
      <c r="AF17" s="505">
        <f>IF(ISNUMBER(Datos!L17),Datos!L17,"-")</f>
        <v>304</v>
      </c>
      <c r="AG17" s="503"/>
      <c r="AH17" s="503"/>
      <c r="AI17" s="503"/>
      <c r="AJ17" s="503"/>
      <c r="AK17" s="503"/>
      <c r="AL17" s="504"/>
      <c r="AM17" s="671">
        <f>IF(ISNUMBER(Datos!R17),Datos!R17," - ")</f>
        <v>19</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73</v>
      </c>
      <c r="BD17" s="619">
        <f>IF(ISNUMBER(Datos!N17),Datos!N17," - ")</f>
        <v>110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0.88808664259927794</v>
      </c>
      <c r="BH17" s="669">
        <f>IF(ISNUMBER(((IF(D_I="SI",Datos!L17/Datos!K17,(Datos!L17+Datos!AF17)/(Datos!K17+Datos!AE17)))*11)/factor_trimestre),((IF(D_I="SI",Datos!L17/Datos!K17,(Datos!L17+Datos!AF17)/(Datos!K17+Datos!AE17)))*11)/factor_trimestre," - ")</f>
        <v>2.4715447154471546</v>
      </c>
      <c r="BI17" s="668">
        <f>IF(ISNUMBER('Resol  Asuntos'!D17/NºAsuntos!G17),'Resol  Asuntos'!D17/NºAsuntos!G17," - ")</f>
        <v>0.2967479674796748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2687</v>
      </c>
      <c r="G18" s="1044">
        <f>SUBTOTAL(9,G15:G17)</f>
        <v>2960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1226</v>
      </c>
      <c r="AC18" s="1045">
        <f t="shared" si="4"/>
        <v>13</v>
      </c>
      <c r="AD18" s="1045">
        <f t="shared" si="4"/>
        <v>0</v>
      </c>
      <c r="AE18" s="1045">
        <f t="shared" si="4"/>
        <v>0</v>
      </c>
      <c r="AF18" s="1045">
        <f t="shared" si="4"/>
        <v>3366</v>
      </c>
      <c r="AG18" s="1045">
        <f t="shared" si="4"/>
        <v>0</v>
      </c>
      <c r="AH18" s="1045">
        <f t="shared" si="4"/>
        <v>0</v>
      </c>
      <c r="AI18" s="1045">
        <f t="shared" si="4"/>
        <v>0</v>
      </c>
      <c r="AJ18" s="1045">
        <f t="shared" si="4"/>
        <v>0</v>
      </c>
      <c r="AK18" s="1045">
        <f t="shared" si="4"/>
        <v>0</v>
      </c>
      <c r="AL18" s="1045">
        <f t="shared" si="4"/>
        <v>0</v>
      </c>
      <c r="AM18" s="1045">
        <f t="shared" si="4"/>
        <v>170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220</v>
      </c>
      <c r="BD18" s="1045">
        <f t="shared" si="4"/>
        <v>707</v>
      </c>
      <c r="BE18" s="1045">
        <f t="shared" si="4"/>
        <v>0</v>
      </c>
      <c r="BF18" s="1045">
        <f t="shared" si="4"/>
        <v>0</v>
      </c>
      <c r="BG18" s="1045">
        <f>IF(ISNUMBER(Datos!K18/Datos!J18),Datos!K18/Datos!J18," - ")</f>
        <v>0.75122549019607843</v>
      </c>
      <c r="BH18" s="1049">
        <f>IF(ISNUMBER(((Datos!L18/Datos!K18)*11)/factor_trimestre),((Datos!L18/Datos!K18)*11)/factor_trimestre," - ")</f>
        <v>5.4910277324632952</v>
      </c>
      <c r="BI18" s="1045">
        <f>SUBTOTAL(9,BI15:BI17)</f>
        <v>0.44674796747967482</v>
      </c>
      <c r="BJ18" s="1045">
        <f>SUBTOTAL(9,BJ15:BJ17)</f>
        <v>0</v>
      </c>
      <c r="BK18" s="1045">
        <f>SUBTOTAL(9,BK15:BK17)</f>
        <v>0</v>
      </c>
      <c r="BL18" s="1045">
        <f>IF(ISNUMBER((I18-AB18+L18)/(F18)),(I18-AB18+L18)/(F18)," - ")</f>
        <v>-0.45627093412727948</v>
      </c>
      <c r="BM18" s="1051">
        <f>IF(ISNUMBER((Datos!P18-Datos!Q18)/(Datos!R18-Datos!P18+Datos!Q18)),(Datos!P18-Datos!Q18)/(Datos!R18-Datos!P18+Datos!Q18)," - ")</f>
        <v>5.9171597633136093E-3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2762</v>
      </c>
      <c r="G19" s="966">
        <f t="shared" si="6"/>
        <v>3035</v>
      </c>
      <c r="H19" s="968">
        <f t="shared" si="6"/>
        <v>0</v>
      </c>
      <c r="I19" s="966">
        <f t="shared" si="6"/>
        <v>0</v>
      </c>
      <c r="J19" s="968">
        <f t="shared" si="6"/>
        <v>0</v>
      </c>
      <c r="K19" s="968">
        <f t="shared" si="6"/>
        <v>0</v>
      </c>
      <c r="L19" s="1027">
        <f t="shared" si="6"/>
        <v>0</v>
      </c>
      <c r="M19" s="1027">
        <f t="shared" si="6"/>
        <v>0</v>
      </c>
      <c r="N19" s="1027">
        <f t="shared" si="6"/>
        <v>78</v>
      </c>
      <c r="O19" s="1027">
        <f t="shared" si="6"/>
        <v>0</v>
      </c>
      <c r="P19" s="1027">
        <f t="shared" si="6"/>
        <v>0</v>
      </c>
      <c r="Q19" s="968">
        <f t="shared" si="6"/>
        <v>394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1245</v>
      </c>
      <c r="AC19" s="967">
        <f t="shared" si="7"/>
        <v>231</v>
      </c>
      <c r="AD19" s="967">
        <f t="shared" si="7"/>
        <v>0</v>
      </c>
      <c r="AE19" s="967">
        <f t="shared" si="7"/>
        <v>0</v>
      </c>
      <c r="AF19" s="974">
        <f t="shared" si="7"/>
        <v>3441</v>
      </c>
      <c r="AG19" s="974">
        <f t="shared" si="7"/>
        <v>0</v>
      </c>
      <c r="AH19" s="974">
        <f t="shared" si="7"/>
        <v>155</v>
      </c>
      <c r="AI19" s="974">
        <f t="shared" si="7"/>
        <v>0</v>
      </c>
      <c r="AJ19" s="967">
        <f t="shared" si="7"/>
        <v>0</v>
      </c>
      <c r="AK19" s="974">
        <f t="shared" si="7"/>
        <v>0</v>
      </c>
      <c r="AL19" s="974">
        <f t="shared" si="7"/>
        <v>0</v>
      </c>
      <c r="AM19" s="974">
        <f t="shared" si="7"/>
        <v>9001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588</v>
      </c>
      <c r="BD19" s="966">
        <f t="shared" si="7"/>
        <v>1258</v>
      </c>
      <c r="BE19" s="966">
        <f t="shared" si="7"/>
        <v>0</v>
      </c>
      <c r="BF19" s="976">
        <f t="shared" si="7"/>
        <v>0</v>
      </c>
      <c r="BG19" s="1061">
        <f>IF(ISNUMBER(Datos!K19/Datos!J19),Datos!K19/Datos!J19," - ")</f>
        <v>0.78240882623352748</v>
      </c>
      <c r="BH19" s="1061">
        <f>IF(ISNUMBER(((Datos!L19/Datos!K19)*11)/factor_trimestre),((Datos!L19/Datos!K19)*11)/factor_trimestre," - ")</f>
        <v>7.4539757148452797</v>
      </c>
      <c r="BI19" s="959">
        <f>IF(ISNUMBER(Datos!J19/Datos!I19),Datos!J19/Datos!I19," - ")</f>
        <v>0.3705848949460534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-0.45076031860970311</v>
      </c>
      <c r="BM19" s="1035">
        <f>IF(ISNUMBER((Datos!P19-Datos!Q19+R19)/(Datos!R19-Datos!P19+Datos!Q19-R19)),(Datos!P19-Datos!Q19+R19)/(Datos!R19-Datos!P19+Datos!Q19-R19)," - ")</f>
        <v>1.8443086671192578E-2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1011.6666666666666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2.2236106773543889</v>
      </c>
      <c r="F21" s="599">
        <f>IF(ISNUMBER(STDEV(F8:F18)),STDEV(F8:F18),"-")</f>
        <v>1443.2748179054465</v>
      </c>
      <c r="G21" s="600">
        <f>IF(ISNUMBER(STDEV(G8:G18)),STDEV(G8:G18),"-")</f>
        <v>1407.8655712342234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546.14357086758787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152.41828411753406</v>
      </c>
      <c r="BD21" s="599"/>
      <c r="BE21" s="599">
        <f>IF(ISNUMBER(STDEV(BE8:BE18)),STDEV(BE8:BE18),"-")</f>
        <v>0</v>
      </c>
      <c r="BF21" s="604">
        <f>IF(ISNUMBER(STDEV(BF8:BF18)),STDEV(BF8:BF18),"-")</f>
        <v>0</v>
      </c>
      <c r="BG21" s="914">
        <f>IF(ISNUMBER(STDEV(BG8:BG18)),STDEV(BG8:BG18),"-")</f>
        <v>0.10026160472386179</v>
      </c>
      <c r="BH21" s="918">
        <f>IF(ISNUMBER(STDEV(BH8:BH18)),STDEV(BH8:BH18),"-")</f>
        <v>2.56597878883154</v>
      </c>
      <c r="BI21" s="253">
        <f>IF(ISNUMBER(STDEV(BI8:BI18)),STDEV(BI8:BI18),"-")</f>
        <v>0.12241832581203421</v>
      </c>
      <c r="BJ21" s="234" t="str">
        <f>IF(ISNUMBER(BL21/BM21),BL21/BM21," - ")</f>
        <v xml:space="preserve"> - </v>
      </c>
      <c r="BK21" s="626"/>
      <c r="BL21" s="607">
        <f>IF(ISNUMBER(STDEV(BL8:BL18)),STDEV(BL8:BL18),"-")</f>
        <v>0.14349855367912767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K2M5GoBdseY5w4z80F+DnlKVUoZ+ctBHkR/puixRvd+073DOyaKuzyJYRz45S558QYYdHQE55qdGFBENS7jxOQ==" saltValue="k0hbi/tsMvQdzDg784miZ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ISLAS BALEARES</v>
      </c>
    </row>
    <row r="2" spans="1:73" ht="16.5" customHeight="1">
      <c r="C2" s="574" t="str">
        <f>Criterios!A10 &amp;"  "&amp;Criterios!B10 &amp; "  " &amp; IF(NOT(ISBLANK(Criterios!A11)),Criterios!A11 &amp;"  "&amp;Criterios!B11,"")</f>
        <v>Provincias  ILLES BALEARS  Resumenes por Partidos Judiciales  INCA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556</v>
      </c>
      <c r="F5" s="1688" t="s">
        <v>410</v>
      </c>
      <c r="G5" s="1659" t="s">
        <v>128</v>
      </c>
      <c r="H5" s="1659" t="s">
        <v>586</v>
      </c>
      <c r="I5" s="1659" t="s">
        <v>557</v>
      </c>
      <c r="J5" s="1659" t="s">
        <v>683</v>
      </c>
      <c r="K5" s="1659" t="s">
        <v>558</v>
      </c>
      <c r="L5" s="1659" t="s">
        <v>584</v>
      </c>
      <c r="M5" s="1659" t="s">
        <v>684</v>
      </c>
      <c r="N5" s="1659" t="s">
        <v>583</v>
      </c>
      <c r="O5" s="1659" t="s">
        <v>610</v>
      </c>
      <c r="P5" s="1694" t="s">
        <v>676</v>
      </c>
      <c r="Q5" s="1694" t="s">
        <v>678</v>
      </c>
      <c r="R5" s="1659" t="s">
        <v>590</v>
      </c>
      <c r="S5" s="1659" t="s">
        <v>559</v>
      </c>
      <c r="T5" s="1659" t="s">
        <v>771</v>
      </c>
      <c r="U5" s="1659" t="s">
        <v>772</v>
      </c>
      <c r="V5" s="1662" t="s">
        <v>667</v>
      </c>
      <c r="W5" s="1677" t="s">
        <v>572</v>
      </c>
      <c r="X5" s="1680" t="s">
        <v>573</v>
      </c>
      <c r="Y5" s="1656" t="s">
        <v>591</v>
      </c>
      <c r="Z5" s="1656" t="s">
        <v>611</v>
      </c>
      <c r="AA5" s="1659" t="s">
        <v>563</v>
      </c>
      <c r="AB5" s="1659" t="s">
        <v>574</v>
      </c>
      <c r="AC5" s="1659" t="s">
        <v>575</v>
      </c>
      <c r="AD5" s="1659" t="s">
        <v>529</v>
      </c>
      <c r="AE5" s="1659" t="s">
        <v>685</v>
      </c>
      <c r="AF5" s="1659" t="s">
        <v>184</v>
      </c>
      <c r="AG5" s="1659" t="s">
        <v>576</v>
      </c>
      <c r="AH5" s="1659" t="s">
        <v>564</v>
      </c>
      <c r="AI5" s="1659" t="s">
        <v>565</v>
      </c>
      <c r="AJ5" s="1659" t="s">
        <v>577</v>
      </c>
      <c r="AK5" s="1659" t="s">
        <v>578</v>
      </c>
      <c r="AL5" s="1659" t="s">
        <v>579</v>
      </c>
      <c r="AM5" s="1674" t="s">
        <v>580</v>
      </c>
      <c r="AN5" s="1659" t="s">
        <v>252</v>
      </c>
      <c r="AO5" s="1659" t="s">
        <v>567</v>
      </c>
      <c r="AP5" s="1659" t="s">
        <v>568</v>
      </c>
      <c r="AQ5" s="1659" t="s">
        <v>592</v>
      </c>
      <c r="AR5" s="1659" t="s">
        <v>593</v>
      </c>
      <c r="AS5" s="1659" t="s">
        <v>595</v>
      </c>
      <c r="AT5" s="1659" t="s">
        <v>588</v>
      </c>
      <c r="AU5" s="1659" t="s">
        <v>842</v>
      </c>
      <c r="AV5" s="1659" t="s">
        <v>336</v>
      </c>
      <c r="AW5" s="1659" t="s">
        <v>581</v>
      </c>
      <c r="AX5" s="1659" t="s">
        <v>534</v>
      </c>
      <c r="BU5" s="1659" t="s">
        <v>773</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594</v>
      </c>
      <c r="B9" s="652" t="s">
        <v>249</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380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218</v>
      </c>
      <c r="AA9" s="505" t="str">
        <f>IF(ISNUMBER(IF(J_V="SI",Datos!L9,Datos!L9+Datos!AB9)-IF(Monitorios="SI",Datos!CD9,0)),
                          IF(J_V="SI",Datos!L9,Datos!L9+Datos!AB9)-IF(Monitorios="SI",Datos!CD9,0),
                          " - ")</f>
        <v xml:space="preserve"> - </v>
      </c>
      <c r="AB9" s="503"/>
      <c r="AC9" s="503"/>
      <c r="AD9" s="516"/>
      <c r="AE9" s="516">
        <f>IF(ISNUMBER(Datos!R9),Datos!R9," - ")</f>
        <v>8766</v>
      </c>
      <c r="AF9" s="619" t="str">
        <f>IF(ISNUMBER(Datos!BV9),Datos!BV9," - ")</f>
        <v xml:space="preserve"> - </v>
      </c>
      <c r="AG9" s="506" t="str">
        <f>IF(ISNUMBER(Datos!DV9),Datos!DV9," - ")</f>
        <v xml:space="preserve"> - </v>
      </c>
      <c r="AH9" s="507"/>
      <c r="AI9" s="508"/>
      <c r="AJ9" s="506">
        <f>IF(ISNUMBER(Datos!M9),Datos!M9," - ")</f>
        <v>355</v>
      </c>
      <c r="AK9" s="619">
        <f>IF(ISNUMBER(Datos!N9),Datos!N9," - ")</f>
        <v>547</v>
      </c>
      <c r="AL9" s="619" t="str">
        <f>IF(ISNUMBER(Datos!BW9),Datos!BW9," - ")</f>
        <v xml:space="preserve"> - </v>
      </c>
      <c r="AM9" s="667" t="str">
        <f>IF(ISNUMBER(Datos!BX9),Datos!BX9," - ")</f>
        <v xml:space="preserve"> - </v>
      </c>
      <c r="AN9" s="668"/>
      <c r="AO9" s="669">
        <f>IF(ISNUMBER(((NºAsuntos!I9/NºAsuntos!G9)*11)/factor_trimestre),((NºAsuntos!I9/NºAsuntos!G9)*11)/factor_trimestre," - ")</f>
        <v>9.0144717800289431</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1.8828451882845189E-2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75</v>
      </c>
      <c r="G10" s="506">
        <f>IF(ISNUMBER(Datos!I10),Datos!I10," - ")</f>
        <v>75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19</v>
      </c>
      <c r="Z10" s="703">
        <f>IF(ISNUMBER(Datos!Q10),Datos!Q10," - ")</f>
        <v>0</v>
      </c>
      <c r="AA10" s="505">
        <f>IF(ISNUMBER(Datos!L10),Datos!L10,"-")</f>
        <v>75</v>
      </c>
      <c r="AB10" s="503"/>
      <c r="AC10" s="503"/>
      <c r="AD10" s="516"/>
      <c r="AE10" s="516">
        <f>IF(ISNUMBER(Datos!R10),Datos!R10," - ")</f>
        <v>65</v>
      </c>
      <c r="AF10" s="619" t="str">
        <f>IF(ISNUMBER(Datos!BV10),Datos!BV10," - ")</f>
        <v xml:space="preserve"> - </v>
      </c>
      <c r="AG10" s="506" t="str">
        <f>IF(ISNUMBER(Datos!DV10),Datos!DV10," - ")</f>
        <v xml:space="preserve"> - </v>
      </c>
      <c r="AH10" s="507"/>
      <c r="AI10" s="508"/>
      <c r="AJ10" s="506">
        <f>IF(ISNUMBER(Datos!M10),Datos!M10," - ")</f>
        <v>13</v>
      </c>
      <c r="AK10" s="619">
        <f>IF(ISNUMBER(Datos!N10),Datos!N10," - ")</f>
        <v>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7.8947368421052628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5</v>
      </c>
      <c r="F13" s="1044">
        <f>SUBTOTAL(9,F8:F12)</f>
        <v>75</v>
      </c>
      <c r="G13" s="1044">
        <f>SUBTOTAL(9,G8:G12)</f>
        <v>75</v>
      </c>
      <c r="H13" s="1054"/>
      <c r="I13" s="1044">
        <f t="shared" ref="I13:N13" si="0">SUBTOTAL(9,I8:I12)</f>
        <v>0</v>
      </c>
      <c r="J13" s="1013">
        <f t="shared" si="0"/>
        <v>0</v>
      </c>
      <c r="K13" s="1054">
        <f t="shared" si="0"/>
        <v>0</v>
      </c>
      <c r="L13" s="1054">
        <f t="shared" si="0"/>
        <v>0</v>
      </c>
      <c r="M13" s="1054">
        <f t="shared" si="0"/>
        <v>0</v>
      </c>
      <c r="N13" s="1054">
        <f t="shared" si="0"/>
        <v>380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19</v>
      </c>
      <c r="Z13" s="1053">
        <f t="shared" si="2"/>
        <v>218</v>
      </c>
      <c r="AA13" s="1046">
        <f t="shared" si="2"/>
        <v>75</v>
      </c>
      <c r="AB13" s="1046">
        <f t="shared" si="2"/>
        <v>0</v>
      </c>
      <c r="AC13" s="1046">
        <f t="shared" si="2"/>
        <v>0</v>
      </c>
      <c r="AD13" s="1046">
        <f t="shared" si="2"/>
        <v>0</v>
      </c>
      <c r="AE13" s="1046">
        <f t="shared" si="2"/>
        <v>8831</v>
      </c>
      <c r="AF13" s="1054">
        <f t="shared" si="2"/>
        <v>0</v>
      </c>
      <c r="AG13" s="1054">
        <f t="shared" si="2"/>
        <v>0</v>
      </c>
      <c r="AH13" s="1054">
        <f t="shared" si="2"/>
        <v>0</v>
      </c>
      <c r="AI13" s="1054">
        <f t="shared" si="2"/>
        <v>0</v>
      </c>
      <c r="AJ13" s="1054">
        <f t="shared" si="2"/>
        <v>368</v>
      </c>
      <c r="AK13" s="1054">
        <f t="shared" si="2"/>
        <v>551</v>
      </c>
      <c r="AL13" s="1054">
        <f t="shared" si="2"/>
        <v>0</v>
      </c>
      <c r="AM13" s="1054">
        <f t="shared" si="2"/>
        <v>0</v>
      </c>
      <c r="AN13" s="1054">
        <f t="shared" si="2"/>
        <v>0</v>
      </c>
      <c r="AO13" s="1050">
        <f>IF(ISNUMBER(((NºAsuntos!I13/NºAsuntos!G13)*11)/factor_trimestre),((NºAsuntos!I13/NºAsuntos!G13)*11)/factor_trimestre," - ")</f>
        <v>8.9992862241256244</v>
      </c>
      <c r="AP13" s="1056" t="str">
        <f>IF(ISNUMBER(Datos!CI13/Datos!CJ13),Datos!CI13/Datos!CJ13," - ")</f>
        <v xml:space="preserve"> - </v>
      </c>
      <c r="AQ13" s="1074">
        <f t="shared" ref="AQ13:AV13" si="3">SUBTOTAL(9,AQ9:AQ12)</f>
        <v>0</v>
      </c>
      <c r="AR13" s="1074">
        <f t="shared" si="3"/>
        <v>1.8828451882845189E-2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400</v>
      </c>
      <c r="C15" s="670" t="str">
        <f>Datos!A15</f>
        <v xml:space="preserve">Jdos. Instrucción                               </v>
      </c>
      <c r="D15" s="543"/>
      <c r="E15" s="1333">
        <f>IF(ISNUMBER(Datos!AQ15),Datos!AQ15," - ")</f>
        <v>3</v>
      </c>
      <c r="F15" s="497">
        <f>IF(ISNUMBER(AA15+Y15-Datos!J15-K15),AA15+Y15-Datos!J15-K15," - ")</f>
        <v>2684</v>
      </c>
      <c r="G15" s="506">
        <f>IF(ISNUMBER(IF(D_I="SI",Datos!I15,Datos!I15+Datos!AC15)),IF(D_I="SI",Datos!I15,Datos!I15+Datos!AC15)," - ")</f>
        <v>2684</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14</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980</v>
      </c>
      <c r="Z15" s="703">
        <f>IF(ISNUMBER(Datos!Q15),Datos!Q15," - ")</f>
        <v>12</v>
      </c>
      <c r="AA15" s="505">
        <f>IF(ISNUMBER(IF(D_I="SI",Datos!L15,Datos!L15+Datos!AF15)),IF(D_I="SI",Datos!L15,Datos!L15+Datos!AF15)," - ")</f>
        <v>3059</v>
      </c>
      <c r="AB15" s="503"/>
      <c r="AC15" s="503"/>
      <c r="AD15" s="516"/>
      <c r="AE15" s="516">
        <f>IF(ISNUMBER(Datos!R15),Datos!R15," - ")</f>
        <v>150</v>
      </c>
      <c r="AF15" s="619" t="str">
        <f>IF(ISNUMBER(Datos!BV15),Datos!BV15," - ")</f>
        <v xml:space="preserve"> - </v>
      </c>
      <c r="AG15" s="506"/>
      <c r="AH15" s="507"/>
      <c r="AI15" s="508"/>
      <c r="AJ15" s="506">
        <f>IF(ISNUMBER(Datos!M15),Datos!M15," - ")</f>
        <v>147</v>
      </c>
      <c r="AK15" s="619">
        <f>IF(ISNUMBER(Datos!N15),Datos!N15," - ")</f>
        <v>597</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6.2428571428571438</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f>IF(ISNUMBER(AA16+Y16-Datos!J16-K15),AA16+Y16-Datos!J16-K15," - ")</f>
        <v>3</v>
      </c>
      <c r="G16" s="506">
        <f>IF(ISNUMBER(IF(D_I="SI",Datos!I16,Datos!I16+Datos!AC16)),IF(D_I="SI",Datos!I16,Datos!I16+Datos!AC16)," - ")</f>
        <v>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0</v>
      </c>
      <c r="Z16" s="703">
        <f>IF(ISNUMBER(Datos!Q16),Datos!Q16," - ")</f>
        <v>0</v>
      </c>
      <c r="AA16" s="505">
        <f>IF(ISNUMBER(IF(D_I="SI",Datos!L16,Datos!L16+Datos!AF16)),IF(D_I="SI",Datos!L16,Datos!L16+Datos!AF16)," - ")</f>
        <v>3</v>
      </c>
      <c r="AB16" s="503"/>
      <c r="AC16" s="503"/>
      <c r="AD16" s="516"/>
      <c r="AE16" s="516">
        <f>IF(ISNUMBER(Datos!R16),Datos!R16," - ")</f>
        <v>1</v>
      </c>
      <c r="AF16" s="619" t="str">
        <f>IF(ISNUMBER(Datos!BV16),Datos!BV16," - ")</f>
        <v xml:space="preserve"> - </v>
      </c>
      <c r="AG16" s="506"/>
      <c r="AH16" s="507"/>
      <c r="AI16" s="508"/>
      <c r="AJ16" s="506">
        <f>IF(ISNUMBER(Datos!M16),Datos!M16," - ")</f>
        <v>0</v>
      </c>
      <c r="AK16" s="619">
        <f>IF(ISNUMBER(Datos!N16),Datos!N16," - ")</f>
        <v>0</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273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246</v>
      </c>
      <c r="Z17" s="703">
        <f>IF(ISNUMBER(Datos!Q17),Datos!Q17," - ")</f>
        <v>1</v>
      </c>
      <c r="AA17" s="505">
        <f>IF(ISNUMBER(Datos!L17),Datos!L17,"-")</f>
        <v>304</v>
      </c>
      <c r="AB17" s="503"/>
      <c r="AC17" s="503"/>
      <c r="AD17" s="516"/>
      <c r="AE17" s="516">
        <f>IF(ISNUMBER(Datos!R17),Datos!R17," - ")</f>
        <v>19</v>
      </c>
      <c r="AF17" s="619" t="str">
        <f>IF(ISNUMBER(Datos!BV17),Datos!BV17," - ")</f>
        <v xml:space="preserve"> - </v>
      </c>
      <c r="AG17" s="506" t="str">
        <f>IF(ISNUMBER(Datos!DV17),Datos!DV17," - ")</f>
        <v xml:space="preserve"> - </v>
      </c>
      <c r="AH17" s="507"/>
      <c r="AI17" s="508"/>
      <c r="AJ17" s="506">
        <f>IF(ISNUMBER(Datos!M17),Datos!M17," - ")</f>
        <v>73</v>
      </c>
      <c r="AK17" s="619">
        <f>IF(ISNUMBER(Datos!N17),Datos!N17," - ")</f>
        <v>110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2.4715447154471546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2687</v>
      </c>
      <c r="G18" s="1044">
        <f>SUBTOTAL(9,G15:G17)</f>
        <v>2960</v>
      </c>
      <c r="H18" s="1078">
        <f>SUBTOTAL(9,H15:H17)</f>
        <v>0</v>
      </c>
      <c r="I18" s="1057">
        <f>SUBTOTAL(9,I15:I17)</f>
        <v>0</v>
      </c>
      <c r="J18" s="1013">
        <f>SUBTOTAL(9,J14:J17)</f>
        <v>0</v>
      </c>
      <c r="K18" s="1078">
        <f t="shared" ref="K18:S18" si="4">SUBTOTAL(9,K15:K17)</f>
        <v>0</v>
      </c>
      <c r="L18" s="1078">
        <f t="shared" si="4"/>
        <v>0</v>
      </c>
      <c r="M18" s="1078">
        <f t="shared" si="4"/>
        <v>0</v>
      </c>
      <c r="N18" s="1078">
        <f t="shared" si="4"/>
        <v>14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1226</v>
      </c>
      <c r="Z18" s="1078">
        <f t="shared" si="5"/>
        <v>13</v>
      </c>
      <c r="AA18" s="1078">
        <f t="shared" si="5"/>
        <v>3366</v>
      </c>
      <c r="AB18" s="1078">
        <f t="shared" si="5"/>
        <v>0</v>
      </c>
      <c r="AC18" s="1078">
        <f t="shared" si="5"/>
        <v>0</v>
      </c>
      <c r="AD18" s="1078">
        <f t="shared" si="5"/>
        <v>0</v>
      </c>
      <c r="AE18" s="1078">
        <f t="shared" si="5"/>
        <v>170</v>
      </c>
      <c r="AF18" s="1078">
        <f t="shared" si="5"/>
        <v>0</v>
      </c>
      <c r="AG18" s="1078">
        <f t="shared" si="5"/>
        <v>0</v>
      </c>
      <c r="AH18" s="1078">
        <f t="shared" si="5"/>
        <v>0</v>
      </c>
      <c r="AI18" s="1078">
        <f t="shared" si="5"/>
        <v>0</v>
      </c>
      <c r="AJ18" s="1078">
        <f t="shared" si="5"/>
        <v>220</v>
      </c>
      <c r="AK18" s="1078">
        <f t="shared" si="5"/>
        <v>707</v>
      </c>
      <c r="AL18" s="1078">
        <f t="shared" si="5"/>
        <v>0</v>
      </c>
      <c r="AM18" s="1078">
        <f t="shared" si="5"/>
        <v>0</v>
      </c>
      <c r="AN18" s="1078">
        <f t="shared" si="5"/>
        <v>0</v>
      </c>
      <c r="AO18" s="1080">
        <f>IF(ISNUMBER(((NºAsuntos!I18/NºAsuntos!G18)*11)/factor_trimestre),((NºAsuntos!I18/NºAsuntos!G18)*11)/factor_trimestre," - ")</f>
        <v>5.4910277324632952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2762</v>
      </c>
      <c r="G19" s="966">
        <f t="shared" si="7"/>
        <v>3035</v>
      </c>
      <c r="H19" s="967">
        <f t="shared" si="7"/>
        <v>0</v>
      </c>
      <c r="I19" s="966">
        <f t="shared" si="7"/>
        <v>0</v>
      </c>
      <c r="J19" s="968">
        <f t="shared" si="7"/>
        <v>0</v>
      </c>
      <c r="K19" s="966">
        <f t="shared" si="7"/>
        <v>0</v>
      </c>
      <c r="L19" s="969">
        <f t="shared" si="7"/>
        <v>0</v>
      </c>
      <c r="M19" s="966">
        <f t="shared" si="7"/>
        <v>0</v>
      </c>
      <c r="N19" s="967">
        <f t="shared" si="7"/>
        <v>394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1245</v>
      </c>
      <c r="Z19" s="973">
        <f t="shared" si="8"/>
        <v>231</v>
      </c>
      <c r="AA19" s="974">
        <f t="shared" si="8"/>
        <v>3441</v>
      </c>
      <c r="AB19" s="974">
        <f t="shared" si="8"/>
        <v>0</v>
      </c>
      <c r="AC19" s="974">
        <f t="shared" si="8"/>
        <v>0</v>
      </c>
      <c r="AD19" s="975">
        <f t="shared" si="8"/>
        <v>0</v>
      </c>
      <c r="AE19" s="975">
        <f t="shared" si="8"/>
        <v>9001</v>
      </c>
      <c r="AF19" s="976">
        <f t="shared" si="8"/>
        <v>0</v>
      </c>
      <c r="AG19" s="977">
        <f t="shared" si="8"/>
        <v>0</v>
      </c>
      <c r="AH19" s="978">
        <f t="shared" si="8"/>
        <v>0</v>
      </c>
      <c r="AI19" s="976">
        <f t="shared" si="8"/>
        <v>0</v>
      </c>
      <c r="AJ19" s="966">
        <f t="shared" si="8"/>
        <v>588</v>
      </c>
      <c r="AK19" s="966">
        <f t="shared" si="8"/>
        <v>1258</v>
      </c>
      <c r="AL19" s="966">
        <f t="shared" si="8"/>
        <v>0</v>
      </c>
      <c r="AM19" s="979">
        <f t="shared" si="8"/>
        <v>0</v>
      </c>
      <c r="AN19" s="969">
        <f>IF(ISNUMBER(Datos!K19/Datos!J19),Datos!K19/Datos!J19," - ")</f>
        <v>0.78240882623352748</v>
      </c>
      <c r="AO19" s="969">
        <f>IF(ISNUMBER(FIND("06",Criterios!A8,1)),(IF(ISNUMBER(((Datos!R19/Datos!Q19)*11)/factor_trimestre),((Datos!R19/Datos!Q19)*11)/factor_trimestre," - ")),(IF(ISNUMBER(((Datos!L19/Datos!K19)*11)/factor_trimestre),((Datos!L19/Datos!K19)*11)/factor_trimestre," - ")))</f>
        <v>7.4539757148452797</v>
      </c>
      <c r="AP19" s="980" t="str">
        <f>IF(ISNUMBER(Datos!CI19/Datos!CJ19),Datos!CI19/Datos!CJ19," - ")</f>
        <v xml:space="preserve"> - </v>
      </c>
      <c r="AQ19" s="980">
        <f>IF(OR(ISNUMBER(FIND("01",Criterios!A8,1)),ISNUMBER(FIND("02",Criterios!A8,1)),ISNUMBER(FIND("03",Criterios!A8,1)),ISNUMBER(FIND("04",Criterios!A8,1))),(J19-Y19+K19)/(F19-K19),(I19-Y19+K19)/(F19-K19))</f>
        <v>-0.45076031860970311</v>
      </c>
      <c r="AR19" s="980">
        <f>IF(ISNUMBER((Datos!P19-Datos!Q19+O19)/(Datos!R19-Datos!P19+Datos!Q19-O19)),(Datos!P19-Datos!Q19+O19)/(Datos!R19-Datos!P19+Datos!Q19-O19)," - ")</f>
        <v>1.8443086671192578E-2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1011.6666666666666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1443.2748179054465</v>
      </c>
      <c r="G21" s="600">
        <f>IF(ISNUMBER(STDEV(G8:G18)),STDEV(G8:G18),"-")</f>
        <v>1407.8655712342234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152.41828411753406</v>
      </c>
      <c r="AK21" s="256"/>
      <c r="AL21" s="256">
        <f>IF(ISNUMBER(STDEV(AL8:AL18)),STDEV(AL8:AL18),"-")</f>
        <v>0</v>
      </c>
      <c r="AM21" s="258">
        <f>IF(ISNUMBER(STDEV(AM8:AM18)),STDEV(AM8:AM18),"-")</f>
        <v>0</v>
      </c>
      <c r="AN21" s="586">
        <f>IF(ISNUMBER(STDEV(AN8:AN18)),STDEV(AN8:AN18),"-")</f>
        <v>0</v>
      </c>
      <c r="AO21" s="587">
        <f>IF(ISNUMBER(STDEV(AO8:AO18)),STDEV(AO8:AO18),"-")</f>
        <v>2.5147598564516485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decOzL8bj+XbD9U4ObDRjOU+f85FD6YZ58ly5sH8nrzTyGWCKiIle/zeg6Ai60eBkZ7l4tEtGDWpEjIPmV0sHQ==" saltValue="BVFKRL/1b6LfVTN/ylqqT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624</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625</v>
      </c>
      <c r="B4" s="1707" t="s">
        <v>733</v>
      </c>
      <c r="C4" s="1707" t="s">
        <v>626</v>
      </c>
      <c r="D4" s="1707" t="s">
        <v>691</v>
      </c>
      <c r="E4" s="1709" t="s">
        <v>692</v>
      </c>
      <c r="F4" s="1707" t="s">
        <v>627</v>
      </c>
      <c r="G4" s="1709" t="s">
        <v>456</v>
      </c>
      <c r="H4" s="1702" t="s">
        <v>628</v>
      </c>
      <c r="I4" s="1702" t="s">
        <v>629</v>
      </c>
      <c r="J4" s="1702" t="s">
        <v>630</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7Hh4BjfRXqgC0ievXtu7zJc0O+QnToaA2bIxOAZmpT8VPZog2PihmhO8ZULSPPEQg0aXJtGG+ADgS36ceU3QJQ==" saltValue="5Ezf+WE0TKpCSTBUQliz5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481</v>
      </c>
      <c r="DM5" s="1551" t="s">
        <v>526</v>
      </c>
      <c r="DN5" s="1551" t="s">
        <v>527</v>
      </c>
      <c r="DO5" s="1551" t="s">
        <v>528</v>
      </c>
      <c r="DP5" s="1551" t="s">
        <v>529</v>
      </c>
      <c r="DQ5" s="1551" t="s">
        <v>530</v>
      </c>
      <c r="DR5" s="1551" t="s">
        <v>531</v>
      </c>
      <c r="DS5" s="1551" t="s">
        <v>532</v>
      </c>
      <c r="DT5" s="1551" t="s">
        <v>533</v>
      </c>
      <c r="DU5" s="1552" t="s">
        <v>534</v>
      </c>
      <c r="DV5" s="1530" t="s">
        <v>535</v>
      </c>
      <c r="DW5" s="1527" t="s">
        <v>536</v>
      </c>
      <c r="DX5" s="1551" t="s">
        <v>537</v>
      </c>
      <c r="DY5" s="1524" t="s">
        <v>538</v>
      </c>
      <c r="DZ5" s="1527" t="s">
        <v>539</v>
      </c>
      <c r="EA5" s="1524" t="s">
        <v>540</v>
      </c>
      <c r="EB5" s="1558" t="s">
        <v>584</v>
      </c>
      <c r="EC5" s="1558" t="s">
        <v>585</v>
      </c>
      <c r="ED5" s="1558" t="s">
        <v>586</v>
      </c>
      <c r="EE5" s="1558" t="s">
        <v>619</v>
      </c>
      <c r="EF5" s="1558" t="s">
        <v>623</v>
      </c>
      <c r="EG5" s="1524" t="s">
        <v>621</v>
      </c>
      <c r="EH5" s="1524" t="s">
        <v>622</v>
      </c>
      <c r="EI5" s="1524" t="s">
        <v>588</v>
      </c>
      <c r="EJ5" s="1524" t="s">
        <v>589</v>
      </c>
      <c r="EK5" s="1539" t="s">
        <v>670</v>
      </c>
      <c r="EL5" s="1542" t="s">
        <v>686</v>
      </c>
      <c r="EM5" s="1543"/>
      <c r="EN5" s="1544"/>
      <c r="EO5" s="1536" t="s">
        <v>744</v>
      </c>
      <c r="EP5" s="1536" t="s">
        <v>746</v>
      </c>
      <c r="EQ5" s="1536" t="s">
        <v>747</v>
      </c>
      <c r="ER5" s="1536" t="s">
        <v>755</v>
      </c>
      <c r="ES5" s="1536" t="s">
        <v>757</v>
      </c>
      <c r="ET5" s="1533" t="s">
        <v>824</v>
      </c>
      <c r="EU5" s="1533" t="s">
        <v>825</v>
      </c>
      <c r="EV5" s="1644" t="s">
        <v>841</v>
      </c>
      <c r="EW5" s="1644" t="s">
        <v>846</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743</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687</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51" t="s">
        <v>751</v>
      </c>
      <c r="ER8" s="51" t="s">
        <v>756</v>
      </c>
      <c r="ES8" s="487" t="s">
        <v>758</v>
      </c>
      <c r="ET8" s="1302" t="s">
        <v>826</v>
      </c>
      <c r="EU8" s="1302" t="s">
        <v>827</v>
      </c>
      <c r="EV8" s="156" t="s">
        <v>835</v>
      </c>
      <c r="EW8" s="156">
        <v>153</v>
      </c>
      <c r="EX8" s="487" t="s">
        <v>863</v>
      </c>
      <c r="EY8" s="487" t="s">
        <v>876</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zWkoRorl7gwtoDVuXqDldCAwLzAigJuO+NfZD3dxMTobFme8M8QtSJs9FkjLlH++2chF6ajiUtibjTWYOCKlA==" saltValue="/vEN4FR9cYb88sa3oCACg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ISLAS BALEARES</v>
      </c>
      <c r="F1" s="752"/>
    </row>
    <row r="2" spans="1:75" ht="16.5" customHeight="1">
      <c r="C2" s="520" t="str">
        <f>Criterios!A10 &amp;"  "&amp;Criterios!B10 &amp; "  " &amp; IF(NOT(ISBLANK(Criterios!A11)),Criterios!A11 &amp;"  "&amp;Criterios!B11,"")</f>
        <v>Provincias  ILLES BALEARS  Resumenes por Partidos Judiciales  INCA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556</v>
      </c>
      <c r="F5" s="1688" t="s">
        <v>410</v>
      </c>
      <c r="G5" s="1659" t="s">
        <v>128</v>
      </c>
      <c r="H5" s="1659" t="s">
        <v>586</v>
      </c>
      <c r="I5" s="1659" t="s">
        <v>557</v>
      </c>
      <c r="J5" s="1659" t="s">
        <v>664</v>
      </c>
      <c r="K5" s="1659" t="s">
        <v>558</v>
      </c>
      <c r="L5" s="1659" t="s">
        <v>526</v>
      </c>
      <c r="M5" s="1691" t="s">
        <v>584</v>
      </c>
      <c r="N5" s="1659" t="s">
        <v>719</v>
      </c>
      <c r="O5" s="1659" t="s">
        <v>679</v>
      </c>
      <c r="P5" s="1659" t="s">
        <v>170</v>
      </c>
      <c r="Q5" s="1694" t="s">
        <v>676</v>
      </c>
      <c r="R5" s="1694" t="s">
        <v>720</v>
      </c>
      <c r="S5" s="1659" t="s">
        <v>587</v>
      </c>
      <c r="T5" s="1694" t="s">
        <v>559</v>
      </c>
      <c r="U5" s="1694" t="s">
        <v>771</v>
      </c>
      <c r="V5" s="1694" t="s">
        <v>772</v>
      </c>
      <c r="W5" s="1677" t="s">
        <v>609</v>
      </c>
      <c r="X5" s="1680" t="s">
        <v>560</v>
      </c>
      <c r="Y5" s="1677" t="s">
        <v>561</v>
      </c>
      <c r="Z5" s="1677" t="s">
        <v>562</v>
      </c>
      <c r="AA5" s="1659" t="s">
        <v>680</v>
      </c>
      <c r="AB5" s="1659" t="s">
        <v>685</v>
      </c>
      <c r="AC5" s="1659" t="s">
        <v>184</v>
      </c>
      <c r="AD5" s="1665" t="s">
        <v>182</v>
      </c>
      <c r="AE5" s="1659" t="s">
        <v>681</v>
      </c>
      <c r="AF5" s="1668" t="s">
        <v>682</v>
      </c>
      <c r="AG5" s="1671" t="s">
        <v>535</v>
      </c>
      <c r="AH5" s="1659" t="s">
        <v>536</v>
      </c>
      <c r="AI5" s="1659" t="s">
        <v>607</v>
      </c>
      <c r="AJ5" s="1674" t="s">
        <v>608</v>
      </c>
      <c r="AK5" s="1671" t="s">
        <v>185</v>
      </c>
      <c r="AL5" s="1659" t="s">
        <v>566</v>
      </c>
      <c r="AM5" s="1659" t="s">
        <v>250</v>
      </c>
      <c r="AN5" s="1659" t="s">
        <v>251</v>
      </c>
      <c r="AO5" s="1659" t="s">
        <v>252</v>
      </c>
      <c r="AP5" s="1659" t="s">
        <v>567</v>
      </c>
      <c r="AQ5" s="1659" t="s">
        <v>253</v>
      </c>
      <c r="AR5" s="1659" t="s">
        <v>568</v>
      </c>
      <c r="AS5" s="1659" t="s">
        <v>569</v>
      </c>
      <c r="AT5" s="1659" t="s">
        <v>570</v>
      </c>
      <c r="AU5" s="1659" t="s">
        <v>595</v>
      </c>
      <c r="AV5" s="1659" t="s">
        <v>588</v>
      </c>
      <c r="AW5" s="1659" t="s">
        <v>842</v>
      </c>
      <c r="AX5" s="1659" t="s">
        <v>845</v>
      </c>
      <c r="AY5" s="1659" t="s">
        <v>847</v>
      </c>
      <c r="AZ5" s="1659" t="s">
        <v>589</v>
      </c>
      <c r="BA5" s="1659" t="s">
        <v>877</v>
      </c>
      <c r="BB5" s="1659" t="s">
        <v>571</v>
      </c>
      <c r="BC5" s="1659" t="s">
        <v>534</v>
      </c>
      <c r="BW5" s="1659" t="s">
        <v>773</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0.26266952177016417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0.18573540005471056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T5qGaj6FDDFbkBwgs9YOqm8YstUTQNfzaN8tz4HBGFW2WnmxXZ8hxIffsrPSZC4tGz0VzvQeFYz4qY/BL5xVw==" saltValue="L6SaAnHgXLY3ynOLjp6sq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3Z4XzMm6r8wY4phcq9OeVLlrcyRp+9YZwkicvDUQ+clMIYbH8ZhJrH0pfOmxHmPH9bN3HdwWYi5NhDt466x6Yw==" saltValue="9LEX+6G4O8Wx02M3JY2I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ISLAS BALEARES</v>
      </c>
      <c r="C2" s="399"/>
      <c r="D2" s="399"/>
      <c r="E2" s="399"/>
      <c r="F2" s="399"/>
    </row>
    <row r="3" spans="1:14" ht="19.5">
      <c r="A3" s="401" t="s">
        <v>115</v>
      </c>
      <c r="B3" s="402" t="str">
        <f>Criterios!A10 &amp;"  "&amp;Criterios!B10</f>
        <v>Provincias  ILLES BALEARS</v>
      </c>
      <c r="D3" s="399"/>
      <c r="E3" s="399"/>
      <c r="F3" s="399"/>
    </row>
    <row r="4" spans="1:14" ht="13.5" thickBot="1">
      <c r="A4" s="399"/>
      <c r="B4" s="402" t="str">
        <f>Criterios!A11 &amp;"  "&amp;Criterios!B11</f>
        <v>Resumenes por Partidos Judiciales  INCA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749</v>
      </c>
      <c r="L5" s="1346" t="s">
        <v>795</v>
      </c>
      <c r="M5" s="1346" t="s">
        <v>865</v>
      </c>
      <c r="N5" s="1349" t="s">
        <v>748</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743</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5921</v>
      </c>
      <c r="D9" s="415">
        <f>IF(ISNUMBER(C9/Datos!BH9),C9/Datos!BH9," - ")</f>
        <v>1184.2</v>
      </c>
      <c r="E9" s="414">
        <f>IF(ISNUMBER(IF(J_V="SI",Datos!J9,Datos!J9+Datos!Z9)),IF(J_V="SI",Datos!J9,Datos!J9+Datos!Z9)," - ")</f>
        <v>1690</v>
      </c>
      <c r="F9" s="415">
        <f>IF(ISNUMBER(E9/B9),E9/B9," - ")</f>
        <v>338</v>
      </c>
      <c r="G9" s="414">
        <f>IF(ISNUMBER(IF(J_V="SI",Datos!K9,Datos!K9+Datos!AA9)),IF(J_V="SI",Datos!K9,Datos!K9+Datos!AA9)," - ")</f>
        <v>1382</v>
      </c>
      <c r="H9" s="415">
        <f>IF(ISNUMBER(G9/B9),G9/B9," - ")</f>
        <v>276.39999999999998</v>
      </c>
      <c r="I9" s="414">
        <f>IF(ISNUMBER(IF(J_V="SI",Datos!L9,Datos!L9+Datos!AB9)),IF(J_V="SI",Datos!L9,Datos!L9+Datos!AB9)," - ")</f>
        <v>6229</v>
      </c>
      <c r="J9" s="415">
        <f>IF(ISNUMBER(I9/B9),I9/B9," - ")</f>
        <v>1245.8</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75</v>
      </c>
      <c r="D10" s="415">
        <f>IF(ISNUMBER(C10/Datos!BH10),C10/Datos!BH10," - ")</f>
        <v>75</v>
      </c>
      <c r="E10" s="414">
        <f>IF(ISNUMBER(Datos!J10),Datos!J10," - ")</f>
        <v>19</v>
      </c>
      <c r="F10" s="415">
        <f>IF(ISNUMBER(E10/B10),E10/B10," - ")</f>
        <v>19</v>
      </c>
      <c r="G10" s="414">
        <f>IF(ISNUMBER(Datos!K10),Datos!K10," - ")</f>
        <v>19</v>
      </c>
      <c r="H10" s="415">
        <f>IF(ISNUMBER(G10/B10),G10/B10," - ")</f>
        <v>19</v>
      </c>
      <c r="I10" s="414">
        <f>IF(ISNUMBER(Datos!L10),Datos!L10," - ")</f>
        <v>75</v>
      </c>
      <c r="J10" s="415">
        <f>IF(ISNUMBER(I10/B10),I10/B10," - ")</f>
        <v>75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5996</v>
      </c>
      <c r="D13" s="996" t="str">
        <f>IF(ISNUMBER(C13/Datos!BI13),C13/Datos!BI13," - ")</f>
        <v xml:space="preserve"> - </v>
      </c>
      <c r="E13" s="995">
        <f>SUBTOTAL(9,E8:E12)</f>
        <v>1709</v>
      </c>
      <c r="F13" s="996">
        <f>IF(ISNUMBER(E13/B13),E13/B13," - ")</f>
        <v>341.8</v>
      </c>
      <c r="G13" s="995">
        <f>SUBTOTAL(9,G8:G12)</f>
        <v>1401</v>
      </c>
      <c r="H13" s="996">
        <f>IF(ISNUMBER(G13/B13),G13/B13," - ")</f>
        <v>280.2</v>
      </c>
      <c r="I13" s="995">
        <f>SUBTOTAL(9,I8:I12)</f>
        <v>6304</v>
      </c>
      <c r="J13" s="996">
        <f>IF(ISNUMBER(I13/B13),I13/B13," - ")</f>
        <v>1260.8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2684</v>
      </c>
      <c r="D15" s="415">
        <f>IF(ISNUMBER(C15/Datos!BH15),C15/Datos!BH15," - ")</f>
        <v>894.66666666666663</v>
      </c>
      <c r="E15" s="414">
        <f>IF(ISNUMBER(IF(D_I="SI",Datos!J15,Datos!J15+Datos!AD15)),IF(D_I="SI",Datos!J15,Datos!J15+Datos!AD15)," - ")</f>
        <v>1355</v>
      </c>
      <c r="F15" s="415">
        <f>IF(ISNUMBER(E15/B15),E15/B15," - ")</f>
        <v>451.66666666666669</v>
      </c>
      <c r="G15" s="414">
        <f>IF(ISNUMBER(IF(D_I="SI",Datos!K15,Datos!K15+Datos!AE15)),IF(D_I="SI",Datos!K15,Datos!K15+Datos!AE15)," - ")</f>
        <v>980</v>
      </c>
      <c r="H15" s="415">
        <f>IF(ISNUMBER(G15/B15),G15/B15," - ")</f>
        <v>326.66666666666669</v>
      </c>
      <c r="I15" s="414">
        <f>IF(ISNUMBER(IF(D_I="SI",Datos!L15,Datos!L15+Datos!AF15)),IF(D_I="SI",Datos!L15,Datos!L15+Datos!AF15)," - ")</f>
        <v>3059</v>
      </c>
      <c r="J15" s="415">
        <f>IF(ISNUMBER(I15/B15),I15/B15," - ")</f>
        <v>1019.6666666666666</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f>IF(ISNUMBER(IF(D_I="SI",Datos!I16,Datos!I16+Datos!AC16)),IF(D_I="SI",Datos!I16,Datos!I16+Datos!AC16)," - ")</f>
        <v>3</v>
      </c>
      <c r="D16" s="415" t="str">
        <f>IF(ISNUMBER(C16/Datos!BH16),C16/Datos!BH16," - ")</f>
        <v xml:space="preserve"> - </v>
      </c>
      <c r="E16" s="414">
        <f>IF(ISNUMBER(IF(D_I="SI",Datos!J16,Datos!J16+Datos!AD16)),IF(D_I="SI",Datos!J16,Datos!J16+Datos!AD16)," - ")</f>
        <v>0</v>
      </c>
      <c r="F16" s="415" t="str">
        <f>IF(ISNUMBER(E16/B16),E16/B16," - ")</f>
        <v xml:space="preserve"> - </v>
      </c>
      <c r="G16" s="414">
        <f>IF(ISNUMBER(IF(D_I="SI",Datos!K16,Datos!K16+Datos!AE16)),IF(D_I="SI",Datos!K16,Datos!K16+Datos!AE16)," - ")</f>
        <v>0</v>
      </c>
      <c r="H16" s="415" t="str">
        <f>IF(ISNUMBER(G16/B16),G16/B16," - ")</f>
        <v xml:space="preserve"> - </v>
      </c>
      <c r="I16" s="414">
        <f>IF(ISNUMBER(IF(D_I="SI",Datos!L16,Datos!L16+Datos!AF16)),IF(D_I="SI",Datos!L16,Datos!L16+Datos!AF16)," - ")</f>
        <v>3</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273</v>
      </c>
      <c r="D17" s="415">
        <f>IF(ISNUMBER(C17/Datos!BH17),C17/Datos!BH17," - ")</f>
        <v>273</v>
      </c>
      <c r="E17" s="414">
        <f>IF(ISNUMBER(IF(D_I="SI",Datos!J17,Datos!J17+Datos!AD17)),IF(D_I="SI",Datos!J17,Datos!J17+Datos!AD17)," - ")</f>
        <v>277</v>
      </c>
      <c r="F17" s="415">
        <f>IF(ISNUMBER(E17/B17),E17/B17," - ")</f>
        <v>277</v>
      </c>
      <c r="G17" s="414">
        <f>IF(ISNUMBER(IF(D_I="SI",Datos!K17,Datos!K17+Datos!AE17)),IF(D_I="SI",Datos!K17,Datos!K17+Datos!AE17)," - ")</f>
        <v>246</v>
      </c>
      <c r="H17" s="415">
        <f>IF(ISNUMBER(G17/B17),G17/B17," - ")</f>
        <v>246</v>
      </c>
      <c r="I17" s="414">
        <f>IF(ISNUMBER(IF(D_I="SI",Datos!L17,Datos!L17+Datos!AF17)),IF(D_I="SI",Datos!L17,Datos!L17+Datos!AF17)," - ")</f>
        <v>304</v>
      </c>
      <c r="J17" s="415">
        <f>IF(ISNUMBER(I17/B17),I17/B17," - ")</f>
        <v>304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2960</v>
      </c>
      <c r="D18" s="996" t="str">
        <f>IF(ISNUMBER(C18/Datos!BI18),C18/Datos!BI18," - ")</f>
        <v xml:space="preserve"> - </v>
      </c>
      <c r="E18" s="995">
        <f>SUBTOTAL(9,E14:E17)</f>
        <v>1632</v>
      </c>
      <c r="F18" s="996">
        <f>IF(ISNUMBER(E18/B18),E18/B18," - ")</f>
        <v>544</v>
      </c>
      <c r="G18" s="995">
        <f>SUBTOTAL(9,G14:G17)</f>
        <v>1226</v>
      </c>
      <c r="H18" s="996">
        <f>IF(ISNUMBER(G18/B18),G18/B18," - ")</f>
        <v>408.66666666666669</v>
      </c>
      <c r="I18" s="995">
        <f>SUBTOTAL(9,I14:I17)</f>
        <v>3366</v>
      </c>
      <c r="J18" s="996">
        <f>IF(ISNUMBER(I18/B18),I18/B18," - ")</f>
        <v>1122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8956</v>
      </c>
      <c r="D19" s="941" t="str">
        <f>IF(ISNUMBER(C19/Datos!BI19),C19/Datos!BI19," - ")</f>
        <v xml:space="preserve"> - </v>
      </c>
      <c r="E19" s="940">
        <f>SUBTOTAL(9,E9:E18)</f>
        <v>3341</v>
      </c>
      <c r="F19" s="941">
        <f>IF(ISNUMBER(E19/B19),E19/B19," - ")</f>
        <v>417.625</v>
      </c>
      <c r="G19" s="940">
        <f>SUBTOTAL(9,G9:G18)</f>
        <v>2627</v>
      </c>
      <c r="H19" s="941">
        <f>IF(ISNUMBER(G19/B19),G19/B19," - ")</f>
        <v>328.375</v>
      </c>
      <c r="I19" s="940">
        <f>SUBTOTAL(9,I9:I18)</f>
        <v>9670</v>
      </c>
      <c r="J19" s="941">
        <f>IF(ISNUMBER(I19/B19),I19/B19," - ")</f>
        <v>1208.75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OYm1zWRh0dndA08yaDiW6LB59jvb0QO7FpZyFvdAqMR0RG3ABGSL1vzPEADag5I+AzYsUg0JdLPZ+LI5yJfR3w==" saltValue="MbNYvVPVVq3yKGZBmDAPo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ISLAS BALEARES</v>
      </c>
      <c r="F1" s="752"/>
      <c r="W1"/>
      <c r="X1"/>
      <c r="BE1" s="752"/>
    </row>
    <row r="2" spans="1:65" ht="16.5" customHeight="1">
      <c r="C2" s="520" t="str">
        <f>Criterios!A10 &amp;"  "&amp;Criterios!B10 &amp; "  " &amp; IF(NOT(ISBLANK(Criterios!A11)),Criterios!A11 &amp;"  "&amp;Criterios!B11,"")</f>
        <v>Provincias  ILLES BALEARS  Resumenes por Partidos Judiciales  INCA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556</v>
      </c>
      <c r="F5" s="1688" t="s">
        <v>410</v>
      </c>
      <c r="G5" s="1659" t="s">
        <v>128</v>
      </c>
      <c r="H5" s="1659" t="s">
        <v>693</v>
      </c>
      <c r="I5" s="1659" t="s">
        <v>694</v>
      </c>
      <c r="J5" s="1659" t="s">
        <v>697</v>
      </c>
      <c r="K5" s="1659" t="s">
        <v>698</v>
      </c>
      <c r="L5" s="1659" t="s">
        <v>584</v>
      </c>
      <c r="M5" s="1659" t="s">
        <v>719</v>
      </c>
      <c r="N5" s="1659" t="s">
        <v>699</v>
      </c>
      <c r="O5" s="1659" t="s">
        <v>695</v>
      </c>
      <c r="P5" s="1659" t="s">
        <v>170</v>
      </c>
      <c r="Q5" s="1659" t="s">
        <v>676</v>
      </c>
      <c r="R5" s="1659" t="s">
        <v>720</v>
      </c>
      <c r="S5" s="1659" t="str">
        <f>"Ingreso Computable 2003" &amp; IF(OR(EXACT(LEFT(boletin,2),"04"),EXACT(LEFT(boletin,2),"14"),EXACT(LEFT(boletin,2),"17"))," (Civil + Penal)","")</f>
        <v>Ingreso Computable 2003</v>
      </c>
      <c r="T5" s="1659" t="s">
        <v>696</v>
      </c>
      <c r="U5" s="1694" t="str">
        <f>"% Ingreso Computable 2003" &amp; IF(OR(EXACT(LEFT(boletin,2),"04"),EXACT(LEFT(boletin,2),"14"),EXACT(LEFT(boletin,2),"17"))," (Civil + Penal)","")</f>
        <v>% Ingreso Computable 2003</v>
      </c>
      <c r="V5" s="1694" t="s">
        <v>700</v>
      </c>
      <c r="W5" s="1659" t="s">
        <v>765</v>
      </c>
      <c r="X5" s="1659" t="s">
        <v>766</v>
      </c>
      <c r="Y5" s="1662" t="s">
        <v>667</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701</v>
      </c>
      <c r="AC5" s="1718" t="s">
        <v>702</v>
      </c>
      <c r="AD5" s="1718" t="s">
        <v>703</v>
      </c>
      <c r="AE5" s="1718" t="s">
        <v>704</v>
      </c>
      <c r="AF5" s="1659" t="s">
        <v>705</v>
      </c>
      <c r="AG5" s="1659" t="s">
        <v>706</v>
      </c>
      <c r="AH5" s="1659" t="s">
        <v>707</v>
      </c>
      <c r="AI5" s="1659" t="s">
        <v>708</v>
      </c>
      <c r="AJ5" s="1659" t="s">
        <v>184</v>
      </c>
      <c r="AK5" s="1671" t="s">
        <v>535</v>
      </c>
      <c r="AL5" s="1671" t="s">
        <v>185</v>
      </c>
      <c r="AM5" s="1659" t="s">
        <v>566</v>
      </c>
      <c r="AN5" s="1659" t="s">
        <v>250</v>
      </c>
      <c r="AO5" s="1659" t="s">
        <v>251</v>
      </c>
      <c r="AP5" s="1659" t="s">
        <v>709</v>
      </c>
      <c r="AQ5" s="1659" t="s">
        <v>710</v>
      </c>
      <c r="AR5" s="1659" t="s">
        <v>711</v>
      </c>
      <c r="AS5" s="1659" t="s">
        <v>712</v>
      </c>
      <c r="AT5" s="1659" t="s">
        <v>713</v>
      </c>
      <c r="AU5" s="1659" t="s">
        <v>714</v>
      </c>
      <c r="AV5" s="1659" t="s">
        <v>715</v>
      </c>
      <c r="AW5" s="1659" t="s">
        <v>716</v>
      </c>
      <c r="AX5" s="1659" t="s">
        <v>842</v>
      </c>
      <c r="AY5" s="1659" t="s">
        <v>845</v>
      </c>
      <c r="AZ5" s="1659" t="s">
        <v>717</v>
      </c>
      <c r="BA5" s="1659" t="s">
        <v>718</v>
      </c>
      <c r="BB5" s="1659" t="s">
        <v>534</v>
      </c>
      <c r="BC5" s="1518" t="s">
        <v>725</v>
      </c>
      <c r="BD5" s="1518" t="s">
        <v>726</v>
      </c>
      <c r="BE5" s="1688" t="s">
        <v>727</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249</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75</v>
      </c>
      <c r="G10" s="802">
        <f>IF(ISNUMBER(Datos!I10),Datos!I10," - ")</f>
        <v>75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19</v>
      </c>
      <c r="AC10" s="801" t="str">
        <f>IF(ISNUMBER(IF(D_I="SI",DatosP!K17,DatosP!K17+DatosP!AE17)),IF(D_I="SI",DatosP!K17,DatosP!K17+DatosP!AE17)," - ")</f>
        <v xml:space="preserve"> - </v>
      </c>
      <c r="AD10" s="803"/>
      <c r="AE10" s="803"/>
      <c r="AF10" s="806">
        <f>IF(ISNUMBER(Datos!L10),Datos!L10,"-")</f>
        <v>75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13</v>
      </c>
      <c r="AM10" s="810">
        <f>IF(ISNUMBER(Datos!N10+DatosP!N17),Datos!N10+DatosP!N17," - ")</f>
        <v>4</v>
      </c>
      <c r="AN10" s="810">
        <f>IF(ISNUMBER(Datos!BW10+DatosP!BW17),Datos!BW10+DatosP!BW17," - ")</f>
        <v>0</v>
      </c>
      <c r="AO10" s="811">
        <f>IF(ISNUMBER(Datos!BX10+DatosP!BX17),Datos!BX10+DatosP!BX17," - ")</f>
        <v>0</v>
      </c>
      <c r="AP10" s="813">
        <f>IF(ISNUMBER(((Datos!L10/Datos!K10)*11)/factor_trimestre),((Datos!L10/Datos!K10)*11)/factor_trimestre," - ")</f>
        <v>7.8947368421052628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75</v>
      </c>
      <c r="G13" s="1084">
        <f t="shared" si="0"/>
        <v>75</v>
      </c>
      <c r="H13" s="1084">
        <f t="shared" si="0"/>
        <v>0</v>
      </c>
      <c r="I13" s="1086">
        <f t="shared" si="0"/>
        <v>0</v>
      </c>
      <c r="J13" s="1085">
        <f t="shared" si="0"/>
        <v>0</v>
      </c>
      <c r="K13" s="1085">
        <f t="shared" si="0"/>
        <v>0</v>
      </c>
      <c r="L13" s="1087">
        <f t="shared" si="0"/>
        <v>0</v>
      </c>
      <c r="M13" s="1087">
        <f t="shared" si="0"/>
        <v>0</v>
      </c>
      <c r="N13" s="1085">
        <f t="shared" si="0"/>
        <v>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19</v>
      </c>
      <c r="AC13" s="1085">
        <f t="shared" si="1"/>
        <v>0</v>
      </c>
      <c r="AD13" s="1085">
        <f t="shared" si="1"/>
        <v>0</v>
      </c>
      <c r="AE13" s="1085">
        <f t="shared" si="1"/>
        <v>0</v>
      </c>
      <c r="AF13" s="1085">
        <f t="shared" si="1"/>
        <v>75</v>
      </c>
      <c r="AG13" s="1085">
        <f t="shared" si="1"/>
        <v>0</v>
      </c>
      <c r="AH13" s="1085">
        <f t="shared" si="1"/>
        <v>0</v>
      </c>
      <c r="AI13" s="1085">
        <f t="shared" si="1"/>
        <v>0</v>
      </c>
      <c r="AJ13" s="1085">
        <f t="shared" si="1"/>
        <v>0</v>
      </c>
      <c r="AK13" s="1085">
        <f t="shared" si="1"/>
        <v>0</v>
      </c>
      <c r="AL13" s="1085">
        <f t="shared" si="1"/>
        <v>13</v>
      </c>
      <c r="AM13" s="1085">
        <f t="shared" si="1"/>
        <v>4</v>
      </c>
      <c r="AN13" s="1085">
        <f t="shared" si="1"/>
        <v>0</v>
      </c>
      <c r="AO13" s="1085">
        <f t="shared" si="1"/>
        <v>0</v>
      </c>
      <c r="AP13" s="1090">
        <f>IF(ISNUMBER(((Datos!L13/Datos!K13)*11)/factor_trimestre),((Datos!L13/Datos!K13)*11)/factor_trimestre," - ")</f>
        <v>9.2675207234363217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-0.25333333333333335</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5.4910277324632952</v>
      </c>
      <c r="AQ18" s="1090">
        <f>IF(ISNUMBER(((Datos!M18/Datos!L18)*11)/factor_trimestre),((Datos!M18/Datos!L18)*11)/factor_trimestre," - ")</f>
        <v>0.13071895424836602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5.9171597633136093E-3</v>
      </c>
      <c r="AW18" s="1092">
        <f>IF(ISNUMBER((Datos!Q18-Datos!R18)/(Datos!S18-Datos!Q18+Datos!R18)),(Datos!Q18-Datos!R18)/(Datos!S18-Datos!Q18+Datos!R18)," - ")</f>
        <v>-6.4186426819296816E-2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75</v>
      </c>
      <c r="G19" s="1097">
        <f t="shared" si="4"/>
        <v>75</v>
      </c>
      <c r="H19" s="1097">
        <f t="shared" si="4"/>
        <v>0</v>
      </c>
      <c r="I19" s="1098">
        <f t="shared" si="4"/>
        <v>0</v>
      </c>
      <c r="J19" s="1099">
        <f t="shared" si="4"/>
        <v>0</v>
      </c>
      <c r="K19" s="1099">
        <f t="shared" si="4"/>
        <v>0</v>
      </c>
      <c r="L19" s="1099">
        <f t="shared" si="4"/>
        <v>0</v>
      </c>
      <c r="M19" s="1099">
        <f t="shared" si="4"/>
        <v>0</v>
      </c>
      <c r="N19" s="1098">
        <f t="shared" si="4"/>
        <v>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19</v>
      </c>
      <c r="AC19" s="1103">
        <f t="shared" si="5"/>
        <v>0</v>
      </c>
      <c r="AD19" s="1103">
        <f t="shared" si="5"/>
        <v>0</v>
      </c>
      <c r="AE19" s="1103">
        <f t="shared" si="5"/>
        <v>0</v>
      </c>
      <c r="AF19" s="1104">
        <f t="shared" si="5"/>
        <v>75</v>
      </c>
      <c r="AG19" s="1104">
        <f t="shared" si="5"/>
        <v>0</v>
      </c>
      <c r="AH19" s="1104">
        <f t="shared" si="5"/>
        <v>0</v>
      </c>
      <c r="AI19" s="1104">
        <f t="shared" si="5"/>
        <v>0</v>
      </c>
      <c r="AJ19" s="1105">
        <f t="shared" si="5"/>
        <v>0</v>
      </c>
      <c r="AK19" s="1105">
        <f t="shared" si="5"/>
        <v>0</v>
      </c>
      <c r="AL19" s="1097">
        <f t="shared" si="5"/>
        <v>13</v>
      </c>
      <c r="AM19" s="1097">
        <f t="shared" si="5"/>
        <v>4</v>
      </c>
      <c r="AN19" s="1097">
        <f t="shared" si="5"/>
        <v>0</v>
      </c>
      <c r="AO19" s="1097">
        <f t="shared" si="5"/>
        <v>0</v>
      </c>
      <c r="AP19" s="1097">
        <f>IF(ISNUMBER(((Datos!L19/Datos!K19)*11)/factor_trimestre),((Datos!L19/Datos!K19)*11)/factor_trimestre," - ")</f>
        <v>7.4539757148452797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-0.25333333333333335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1.8443086671192578E-2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43.301270189221931</v>
      </c>
      <c r="G21" s="870">
        <f>IF(ISNUMBER(STDEV(G8:G18)),STDEV(G8:G18),"-")</f>
        <v>43.301270189221931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10.96965511460289</v>
      </c>
      <c r="AC21" s="871">
        <f>IF(ISNUMBER(STDEV(AC8:AC18)),STDEV(AC8:AC18),"-")</f>
        <v>0</v>
      </c>
      <c r="AD21" s="874"/>
      <c r="AE21" s="874"/>
      <c r="AF21" s="874"/>
      <c r="AG21" s="874"/>
      <c r="AH21" s="874"/>
      <c r="AI21" s="874"/>
      <c r="AJ21" s="875">
        <f>IF(ISNUMBER(STDEV(AJ8:AJ18)),STDEV(AJ8:AJ18),"-")</f>
        <v>0</v>
      </c>
      <c r="AK21" s="877"/>
      <c r="AL21" s="869">
        <f>IF(ISNUMBER(STDEV(AL8:AL18)),STDEV(AL8:AL18),"-")</f>
        <v>7.5055534994651349</v>
      </c>
      <c r="AM21" s="869"/>
      <c r="AN21" s="869">
        <f>IF(ISNUMBER(STDEV(AN8:AN18)),STDEV(AN8:AN18),"-")</f>
        <v>0</v>
      </c>
      <c r="AO21" s="875">
        <f>IF(ISNUMBER(STDEV(AO8:AO18)),STDEV(AO8:AO18),"-")</f>
        <v>0</v>
      </c>
      <c r="AP21" s="922">
        <f>IF(ISNUMBER(STDEV(AP8:AP18)),STDEV(AP8:AP18),"-")</f>
        <v>1.9115548810452112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rU+4V+z53YhwGnO5IYOXbo5KKkYzwhbk1mEekHRyawLs14gYvVqq4OO8x4KllE0phPxcsnc6Dm3CJXHWGZA/gg==" saltValue="cS/gvbCFsiMkT5Ykckbs9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ISLAS BALEARES</v>
      </c>
      <c r="C2" s="399"/>
      <c r="E2" s="399"/>
      <c r="F2" s="399"/>
      <c r="G2" s="399"/>
      <c r="H2" s="399"/>
    </row>
    <row r="3" spans="1:15" ht="39">
      <c r="A3" s="426" t="s">
        <v>221</v>
      </c>
      <c r="B3" s="402" t="str">
        <f>Criterios!A10 &amp;"  "&amp;Criterios!B10</f>
        <v>Provincias  ILLES BALEARS</v>
      </c>
      <c r="C3" s="426"/>
      <c r="F3" s="399"/>
      <c r="G3" s="399"/>
      <c r="H3" s="399"/>
    </row>
    <row r="4" spans="1:15" ht="13.5" thickBot="1">
      <c r="A4" s="399"/>
      <c r="B4" s="402" t="str">
        <f>Criterios!A11 &amp;"  "&amp;Criterios!B11</f>
        <v>Resumenes por Partidos Judiciales  INCA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j9c8GOg4gqcKhwjgFayqqLSaAllSLdwF12P3tqdFHy6kyzCrqN1Xq9YXIT9TTGhYxpP3RJ112bda7jsV2qA7+w==" saltValue="kMP2z89CtjTEXGNHg0a6o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ISLAS BALEARES</v>
      </c>
      <c r="C2" s="438"/>
      <c r="D2" s="381"/>
    </row>
    <row r="3" spans="1:9" ht="19.5">
      <c r="A3" s="439" t="s">
        <v>11</v>
      </c>
      <c r="B3" s="440" t="str">
        <f>Criterios!A10 &amp;"  "&amp;Criterios!B10</f>
        <v>Provincias  ILLES BALEARS</v>
      </c>
      <c r="C3" s="438"/>
      <c r="D3" s="439"/>
    </row>
    <row r="4" spans="1:9" ht="13.5" thickBot="1">
      <c r="B4" s="440" t="str">
        <f>Criterios!A11 &amp;"  "&amp;Criterios!B11</f>
        <v>Resumenes por Partidos Judiciales  INCA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355</v>
      </c>
      <c r="E9" s="415">
        <f t="shared" ref="E9:E13" si="0">IF(ISNUMBER(D9/B9),D9/B9," - ")</f>
        <v>71</v>
      </c>
      <c r="F9" s="414">
        <f>IF(ISNUMBER(Datos!N9),Datos!N9," - ")</f>
        <v>547</v>
      </c>
      <c r="G9" s="415">
        <f t="shared" ref="G9:G13" si="1">IF(ISNUMBER(F9/B9),F9/B9," - ")</f>
        <v>109.4</v>
      </c>
      <c r="H9" s="414">
        <f>IF(ISNUMBER(Datos!O9),Datos!O9," - ")</f>
        <v>665</v>
      </c>
      <c r="I9" s="415">
        <f>IF(ISNUMBER(H9/B9),H9/B9," - ")</f>
        <v>133</v>
      </c>
    </row>
    <row r="10" spans="1:9">
      <c r="A10" s="413" t="str">
        <f>Datos!A10</f>
        <v>Jdos. Violencia contra la mujer</v>
      </c>
      <c r="B10" s="443">
        <f>Datos!AO10</f>
        <v>1</v>
      </c>
      <c r="C10" s="421">
        <f>Datos!AQ10</f>
        <v>0</v>
      </c>
      <c r="D10" s="414">
        <f>IF(ISNUMBER(Datos!M10),Datos!M10," - ")</f>
        <v>13</v>
      </c>
      <c r="E10" s="415">
        <f>IF(ISNUMBER(D10/B10),D10/B10," - ")</f>
        <v>13</v>
      </c>
      <c r="F10" s="414">
        <f>IF(ISNUMBER(Datos!N10),Datos!N10," - ")</f>
        <v>4</v>
      </c>
      <c r="G10" s="415">
        <f>IF(ISNUMBER(F10/B10),F10/B10," - ")</f>
        <v>4</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6</v>
      </c>
      <c r="C13" s="997">
        <f>Datos!AR13</f>
        <v>5</v>
      </c>
      <c r="D13" s="995">
        <f>SUBTOTAL(9,D9:D12)</f>
        <v>368</v>
      </c>
      <c r="E13" s="996">
        <f t="shared" si="0"/>
        <v>61.333333333333336</v>
      </c>
      <c r="F13" s="995">
        <f>SUBTOTAL(9,F9:F12)</f>
        <v>551</v>
      </c>
      <c r="G13" s="996">
        <f t="shared" si="1"/>
        <v>91.833333333333329</v>
      </c>
      <c r="H13" s="995">
        <f>SUBTOTAL(9,H9:H12)</f>
        <v>665</v>
      </c>
      <c r="I13" s="996">
        <f>IF(ISNUMBER(H13/B13),H13/B13," - ")</f>
        <v>110.83333333333333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147</v>
      </c>
      <c r="E15" s="415">
        <f t="shared" ref="E15:E18" si="3">IF(ISNUMBER(D15/B15),D15/B15," - ")</f>
        <v>49</v>
      </c>
      <c r="F15" s="414">
        <f>IF(ISNUMBER(Datos!N15),Datos!N15," - ")</f>
        <v>597</v>
      </c>
      <c r="G15" s="415">
        <f t="shared" ref="G15:G18" si="4">IF(ISNUMBER(F15/B15),F15/B15," - ")</f>
        <v>199</v>
      </c>
      <c r="H15" s="414">
        <f>IF(ISNUMBER(Datos!O15),Datos!O15," - ")</f>
        <v>6</v>
      </c>
      <c r="I15" s="415">
        <f t="shared" ref="I15:I17" si="5">IF(ISNUMBER(H15/B15),H15/B15," - ")</f>
        <v>2</v>
      </c>
    </row>
    <row r="16" spans="1:9">
      <c r="A16" s="413" t="str">
        <f>Datos!A16</f>
        <v xml:space="preserve">Jdos. 1ª Instª. e Instr.                        </v>
      </c>
      <c r="B16" s="443">
        <f>Datos!AO16</f>
        <v>0</v>
      </c>
      <c r="C16" s="444">
        <f>Datos!AQ16</f>
        <v>0</v>
      </c>
      <c r="D16" s="414">
        <f>IF(ISNUMBER(Datos!M16),Datos!M16," - ")</f>
        <v>0</v>
      </c>
      <c r="E16" s="415" t="str">
        <f t="shared" si="3"/>
        <v xml:space="preserve"> - </v>
      </c>
      <c r="F16" s="414">
        <f>IF(ISNUMBER(Datos!N16),Datos!N16," - ")</f>
        <v>0</v>
      </c>
      <c r="G16" s="415" t="str">
        <f t="shared" si="4"/>
        <v xml:space="preserve"> - </v>
      </c>
      <c r="H16" s="414">
        <f>IF(ISNUMBER(Datos!O16),Datos!O16," - ")</f>
        <v>0</v>
      </c>
      <c r="I16" s="415" t="str">
        <f t="shared" si="5"/>
        <v xml:space="preserve"> - </v>
      </c>
    </row>
    <row r="17" spans="1:9" ht="13.5" thickBot="1">
      <c r="A17" s="413" t="str">
        <f>Datos!A17</f>
        <v>Jdos. Violencia contra la mujer</v>
      </c>
      <c r="B17" s="443">
        <f>Datos!AO17</f>
        <v>1</v>
      </c>
      <c r="C17" s="444">
        <f>Datos!AQ17</f>
        <v>0</v>
      </c>
      <c r="D17" s="414">
        <f>IF(ISNUMBER(Datos!M17),Datos!M17," - ")</f>
        <v>73</v>
      </c>
      <c r="E17" s="415">
        <f>IF(ISNUMBER(D17/B17),D17/B17," - ")</f>
        <v>73</v>
      </c>
      <c r="F17" s="414">
        <f>IF(ISNUMBER(Datos!N17),Datos!N17," - ")</f>
        <v>110</v>
      </c>
      <c r="G17" s="415">
        <f>IF(ISNUMBER(F17/B17),F17/B17," - ")</f>
        <v>110</v>
      </c>
      <c r="H17" s="414">
        <f>IF(ISNUMBER(Datos!O17),Datos!O17," - ")</f>
        <v>0</v>
      </c>
      <c r="I17" s="415">
        <f t="shared" si="5"/>
        <v>0</v>
      </c>
    </row>
    <row r="18" spans="1:9" ht="14.25" thickTop="1" thickBot="1">
      <c r="A18" s="994" t="str">
        <f>Datos!A18</f>
        <v>TOTAL</v>
      </c>
      <c r="B18" s="995">
        <f>Datos!AO18</f>
        <v>4</v>
      </c>
      <c r="C18" s="997">
        <f>Datos!AR18</f>
        <v>3</v>
      </c>
      <c r="D18" s="995">
        <f>SUBTOTAL(9,D15:D17)</f>
        <v>220</v>
      </c>
      <c r="E18" s="996">
        <f t="shared" si="3"/>
        <v>55</v>
      </c>
      <c r="F18" s="995">
        <f>SUBTOTAL(9,F15:F17)</f>
        <v>707</v>
      </c>
      <c r="G18" s="996">
        <f t="shared" si="4"/>
        <v>176.75</v>
      </c>
      <c r="H18" s="995">
        <f>SUBTOTAL(9,H15:H17)</f>
        <v>6</v>
      </c>
      <c r="I18" s="996">
        <f>IF(ISNUMBER(H18/B18),H18/B18," - ")</f>
        <v>1.5</v>
      </c>
    </row>
    <row r="19" spans="1:9" ht="14.25" thickTop="1" thickBot="1">
      <c r="A19" s="939" t="str">
        <f>Datos!A19</f>
        <v>TOTAL JURISDICCIONES</v>
      </c>
      <c r="B19" s="940">
        <f>Datos!AP19</f>
        <v>8</v>
      </c>
      <c r="C19" s="940">
        <f>Datos!AR19</f>
        <v>8</v>
      </c>
      <c r="D19" s="940">
        <f>SUBTOTAL(9,D8:D18)</f>
        <v>588</v>
      </c>
      <c r="E19" s="941">
        <f>IF(ISNUMBER(D19/B19),D19/B19," - ")</f>
        <v>73.5</v>
      </c>
      <c r="F19" s="940">
        <f>SUBTOTAL(9,F8:F18)</f>
        <v>1258</v>
      </c>
      <c r="G19" s="941">
        <f>IF(ISNUMBER(F19/B19),F19/B19," - ")</f>
        <v>157.25</v>
      </c>
      <c r="H19" s="940">
        <f>SUBTOTAL(9,H8:H18)</f>
        <v>671</v>
      </c>
      <c r="I19" s="941">
        <f>IF(ISNUMBER(H19/B19),H19/B19," - ")</f>
        <v>83.875</v>
      </c>
    </row>
    <row r="22" spans="1:9">
      <c r="A22" s="402" t="str">
        <f>Criterios!A4</f>
        <v>Fecha Informe: 29 nov. 2023</v>
      </c>
    </row>
    <row r="27" spans="1:9">
      <c r="A27" s="425"/>
    </row>
  </sheetData>
  <sheetProtection algorithmName="SHA-512" hashValue="18mPagSGcv+5UJqPQNzyXSxWQ+ErkMiiM+fLtcHPY8lxolynf5n3Nq2N+DCVQ9rNhjFOofpXxAe9Qy3h1e8aGA==" saltValue="vFSyIHXI/Fac31DSEd6s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ISLAS BALEARES</v>
      </c>
    </row>
    <row r="3" spans="1:4" ht="19.5">
      <c r="A3" s="445" t="s">
        <v>32</v>
      </c>
      <c r="B3" s="402" t="str">
        <f>Criterios!A10 &amp;"  "&amp;Criterios!B10</f>
        <v>Provincias  ILLES BALEARS</v>
      </c>
    </row>
    <row r="4" spans="1:4" ht="13.5" thickBot="1">
      <c r="B4" s="402" t="str">
        <f>Criterios!A11 &amp;"  "&amp;Criterios!B11</f>
        <v>Resumenes por Partidos Judiciales  INCA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380</v>
      </c>
      <c r="C9" s="450">
        <f>IF(ISNUMBER(Datos!Q9),Datos!Q9," - ")</f>
        <v>218</v>
      </c>
      <c r="D9" s="419">
        <f>IF(ISNUMBER(Datos!R9),Datos!R9," - ")</f>
        <v>8766</v>
      </c>
    </row>
    <row r="10" spans="1:4">
      <c r="A10" s="413" t="str">
        <f>Datos!A10</f>
        <v>Jdos. Violencia contra la mujer</v>
      </c>
      <c r="B10" s="449">
        <f>IF(ISNUMBER(Datos!P10),Datos!P10," - ")</f>
        <v>0</v>
      </c>
      <c r="C10" s="450">
        <f>IF(ISNUMBER(Datos!Q10),Datos!Q10," - ")</f>
        <v>0</v>
      </c>
      <c r="D10" s="419">
        <f>IF(ISNUMBER(Datos!R10),Datos!R10," - ")</f>
        <v>65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380</v>
      </c>
      <c r="C13" s="999">
        <f>SUBTOTAL(9,C9:C12)</f>
        <v>218</v>
      </c>
      <c r="D13" s="997">
        <f>SUBTOTAL(9,D9:D12)</f>
        <v>8831</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14</v>
      </c>
      <c r="C15" s="450">
        <f>IF(ISNUMBER(Datos!Q15),Datos!Q15," - ")</f>
        <v>12</v>
      </c>
      <c r="D15" s="419">
        <f>IF(ISNUMBER(Datos!R15),Datos!R15," - ")</f>
        <v>150</v>
      </c>
    </row>
    <row r="16" spans="1:4">
      <c r="A16" s="413" t="str">
        <f>Datos!A16</f>
        <v xml:space="preserve">Jdos. 1ª Instª. e Instr.                        </v>
      </c>
      <c r="B16" s="449">
        <f>IF(ISNUMBER(Datos!P16),Datos!P16," - ")</f>
        <v>0</v>
      </c>
      <c r="C16" s="450">
        <f>IF(ISNUMBER(Datos!Q16),Datos!Q16," - ")</f>
        <v>0</v>
      </c>
      <c r="D16" s="419">
        <f>IF(ISNUMBER(Datos!R16),Datos!R16," - ")</f>
        <v>1</v>
      </c>
    </row>
    <row r="17" spans="1:4" ht="13.5" thickBot="1">
      <c r="A17" s="413" t="str">
        <f>Datos!A17</f>
        <v>Jdos. Violencia contra la mujer</v>
      </c>
      <c r="B17" s="449">
        <f>IF(ISNUMBER(Datos!P17),Datos!P17," - ")</f>
        <v>0</v>
      </c>
      <c r="C17" s="450">
        <f>IF(ISNUMBER(Datos!Q17),Datos!Q17," - ")</f>
        <v>1</v>
      </c>
      <c r="D17" s="419">
        <f>IF(ISNUMBER(Datos!R17),Datos!R17," - ")</f>
        <v>19</v>
      </c>
    </row>
    <row r="18" spans="1:4" ht="14.25" thickTop="1" thickBot="1">
      <c r="A18" s="994" t="str">
        <f>Datos!A18</f>
        <v>TOTAL</v>
      </c>
      <c r="B18" s="995">
        <f>SUBTOTAL(9,B15:B17)</f>
        <v>14</v>
      </c>
      <c r="C18" s="999">
        <f>SUBTOTAL(9,C15:C17)</f>
        <v>13</v>
      </c>
      <c r="D18" s="997">
        <f>SUBTOTAL(9,D15:D17)</f>
        <v>170</v>
      </c>
    </row>
    <row r="19" spans="1:4" ht="16.5" customHeight="1" thickTop="1" thickBot="1">
      <c r="A19" s="939" t="str">
        <f>Datos!A19</f>
        <v>TOTAL JURISDICCIONES</v>
      </c>
      <c r="B19" s="944">
        <f>SUBTOTAL(9,B8:B18)</f>
        <v>394</v>
      </c>
      <c r="C19" s="945">
        <f>SUBTOTAL(9,C8:C18)</f>
        <v>231</v>
      </c>
      <c r="D19" s="946">
        <f>SUBTOTAL(9,D8:D18)</f>
        <v>9001</v>
      </c>
    </row>
    <row r="20" spans="1:4" ht="7.5" customHeight="1"/>
    <row r="21" spans="1:4" ht="6" customHeight="1"/>
    <row r="22" spans="1:4">
      <c r="A22" s="402" t="str">
        <f>Criterios!A4</f>
        <v>Fecha Informe: 29 nov. 2023</v>
      </c>
    </row>
    <row r="27" spans="1:4">
      <c r="A27" s="425"/>
    </row>
  </sheetData>
  <sheetProtection algorithmName="SHA-512" hashValue="73Yb46bLPo7iNuiJH/vgVjH4AqitXYgy8eNcXDhnqhH5yT/dvPvtrQXE0R92fSUbJMTwqH2Njst0Xo2ltRM61Q==" saltValue="SEuvQLUcvuAOrdIB4hrw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ISLAS BALEARES</v>
      </c>
    </row>
    <row r="3" spans="1:11" ht="18.75" customHeight="1">
      <c r="A3" s="445" t="s">
        <v>118</v>
      </c>
      <c r="B3" s="402" t="str">
        <f>Criterios!A10 &amp;"  "&amp;Criterios!B10</f>
        <v>Provincias  ILLES BALEARS</v>
      </c>
    </row>
    <row r="4" spans="1:11" ht="10.5" customHeight="1" thickBot="1">
      <c r="B4" s="402" t="str">
        <f>Criterios!A11 &amp;"  "&amp;Criterios!B11</f>
        <v>Resumenes por Partidos Judiciales  INCA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0.20615196577714401</v>
      </c>
      <c r="C9" s="472">
        <f>IF(ISNUMBER(
   IF(J_V="SI",(Datos!J9-Datos!T9)/Datos!T9,(Datos!J9+Datos!Z9-(Datos!T9+Datos!AH9))/(Datos!T9+Datos!AH9))
     ),IF(J_V="SI",(Datos!J9-Datos!T9)/Datos!T9,(Datos!J9+Datos!Z9-(Datos!T9+Datos!AH9))/(Datos!T9+Datos!AH9))," - ")</f>
        <v>5.4273237679351216E-2</v>
      </c>
      <c r="D9" s="472">
        <f>IF(ISNUMBER(
   IF(J_V="SI",(Datos!K9-Datos!U9)/Datos!U9,(Datos!K9+Datos!AA9-(Datos!U9+Datos!AI9))/(Datos!U9+Datos!AI9))
     ),IF(J_V="SI",(Datos!K9-Datos!U9)/Datos!U9,(Datos!K9+Datos!AA9-(Datos!U9+Datos!AI9))/(Datos!U9+Datos!AI9))," - ")</f>
        <v>7.2981366459627328E-2</v>
      </c>
      <c r="E9" s="472">
        <f>IF(ISNUMBER(
   IF(J_V="SI",(Datos!L9-Datos!V9)/Datos!V9,(Datos!L9+Datos!AB9-(Datos!V9+Datos!AJ9))/(Datos!V9+Datos!AJ9))
     ),IF(J_V="SI",(Datos!L9-Datos!V9)/Datos!V9,(Datos!L9+Datos!AB9-(Datos!V9+Datos!AJ9))/(Datos!V9+Datos!AJ9))," - ")</f>
        <v>0.19238131699846861</v>
      </c>
      <c r="F9" s="472">
        <f>IF(ISNUMBER((Datos!M9-Datos!W9)/Datos!W9),(Datos!M9-Datos!W9)/Datos!W9," - ")</f>
        <v>0.38132295719844356</v>
      </c>
      <c r="G9" s="473">
        <f>IF(ISNUMBER((Datos!N9-Datos!X9)/Datos!X9),(Datos!N9-Datos!X9)/Datos!X9," - ")</f>
        <v>-1.9713261648745518E-2</v>
      </c>
      <c r="H9" s="471">
        <f>IF(ISNUMBER(((NºAsuntos!G9/NºAsuntos!E9)-Datos!BD9)/Datos!BD9),((NºAsuntos!G9/NºAsuntos!E9)-Datos!BD9)/Datos!BD9," - ")</f>
        <v>1.7745047594545971E-2</v>
      </c>
      <c r="I9" s="472">
        <f>IF(ISNUMBER(((NºAsuntos!I9/NºAsuntos!G9)-Datos!BE9)/Datos!BE9),((NºAsuntos!I9/NºAsuntos!G9)-Datos!BE9)/Datos!BE9," - ")</f>
        <v>0.11127868038641642</v>
      </c>
      <c r="J9" s="477">
        <f>IF(ISNUMBER((('Resol  Asuntos'!D9/NºAsuntos!G9)-Datos!BF9)/Datos!BF9),(('Resol  Asuntos'!D9/NºAsuntos!G9)-Datos!BF9)/Datos!BF9," - ")</f>
        <v>-0.40707198024783575</v>
      </c>
      <c r="K9" s="478">
        <f>IF(ISNUMBER((((NºAsuntos!C9+NºAsuntos!E9)/NºAsuntos!G9)-Datos!BG9)/Datos!BG9),(((NºAsuntos!C9+NºAsuntos!E9)/NºAsuntos!G9)-Datos!BG9)/Datos!BG9," - ")</f>
        <v>8.9269015101142407E-2</v>
      </c>
    </row>
    <row r="10" spans="1:11">
      <c r="A10" s="413" t="str">
        <f>Datos!A10</f>
        <v>Jdos. Violencia contra la mujer</v>
      </c>
      <c r="B10" s="471">
        <f>IF(ISNUMBER((Datos!I10-Datos!S10)/Datos!S10),(Datos!I10-Datos!S10)/Datos!S10," - ")</f>
        <v>-1.3157894736842105E-2</v>
      </c>
      <c r="C10" s="472">
        <f>IF(ISNUMBER((Datos!J10-Datos!T10)/Datos!T10),(Datos!J10-Datos!T10)/Datos!T10," - ")</f>
        <v>-0.42424242424242425</v>
      </c>
      <c r="D10" s="472">
        <f>IF(ISNUMBER((Datos!K10-Datos!U10)/Datos!U10),(Datos!K10-Datos!U10)/Datos!U10," - ")</f>
        <v>-0.05</v>
      </c>
      <c r="E10" s="472">
        <f>IF(ISNUMBER((Datos!L10-Datos!V10)/Datos!V10),(Datos!L10-Datos!V10)/Datos!V10," - ")</f>
        <v>-0.15730337078651685</v>
      </c>
      <c r="F10" s="472">
        <f>IF(ISNUMBER((Datos!M10-Datos!W10)/Datos!W10),(Datos!M10-Datos!W10)/Datos!W10," - ")</f>
        <v>1.6</v>
      </c>
      <c r="G10" s="473">
        <f>IF(ISNUMBER((Datos!N10-Datos!X10)/Datos!X10),(Datos!N10-Datos!X10)/Datos!X10," - ")</f>
        <v>-0.63636363636363635</v>
      </c>
      <c r="H10" s="471">
        <f>IF(ISNUMBER(((NºAsuntos!G10/NºAsuntos!E10)-Datos!BD10)/Datos!BD10),((NºAsuntos!G10/NºAsuntos!E10)-Datos!BD10)/Datos!BD10," - ")</f>
        <v>0.64999999999999991</v>
      </c>
      <c r="I10" s="472">
        <f>IF(ISNUMBER(((NºAsuntos!I10/NºAsuntos!G10)-Datos!BE10)/Datos!BE10),((NºAsuntos!I10/NºAsuntos!G10)-Datos!BE10)/Datos!BE10," - ")</f>
        <v>-0.11295091661738624</v>
      </c>
      <c r="J10" s="477">
        <f>IF(ISNUMBER((('Resol  Asuntos'!D10/NºAsuntos!G10)-Datos!BF10)/Datos!BF10),(('Resol  Asuntos'!D10/NºAsuntos!G10)-Datos!BF10)/Datos!BF10," - ")</f>
        <v>1.736842105263158</v>
      </c>
      <c r="K10" s="478">
        <f>IF(ISNUMBER((((NºAsuntos!C10+NºAsuntos!E10)/NºAsuntos!G10)-Datos!BG10)/Datos!BG10),(((NºAsuntos!C10+NºAsuntos!E10)/NºAsuntos!G10)-Datos!BG10)/Datos!BG10," - ")</f>
        <v>-9.222597778850794E-2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0.20280842527582749</v>
      </c>
      <c r="C13" s="1001">
        <f>IF(ISNUMBER(
   IF(J_V="SI",(Datos!J13-Datos!T13)/Datos!T13,(Datos!J13+Datos!Z13-(Datos!T13+Datos!AH13))/(Datos!T13+Datos!AH13))
     ),IF(J_V="SI",(Datos!J13-Datos!T13)/Datos!T13,(Datos!J13+Datos!Z13-(Datos!T13+Datos!AH13))/(Datos!T13+Datos!AH13))," - ")</f>
        <v>4.4621026894865523E-2</v>
      </c>
      <c r="D13" s="1001">
        <f>IF(ISNUMBER(
   IF(J_V="SI",(Datos!K13-Datos!U13)/Datos!U13,(Datos!K13+Datos!AA13-(Datos!U13+Datos!AI13))/(Datos!U13+Datos!AI13))
     ),IF(J_V="SI",(Datos!K13-Datos!U13)/Datos!U13,(Datos!K13+Datos!AA13-(Datos!U13+Datos!AI13))/(Datos!U13+Datos!AI13))," - ")</f>
        <v>7.1100917431192664E-2</v>
      </c>
      <c r="E13" s="1001">
        <f>IF(ISNUMBER(
   IF(J_V="SI",(Datos!L13-Datos!V13)/Datos!V13,(Datos!L13+Datos!AB13-(Datos!V13+Datos!AJ13))/(Datos!V13+Datos!AJ13))
     ),IF(J_V="SI",(Datos!L13-Datos!V13)/Datos!V13,(Datos!L13+Datos!AB13-(Datos!V13+Datos!AJ13))/(Datos!V13+Datos!AJ13))," - ")</f>
        <v>0.18652362130623001</v>
      </c>
      <c r="F13" s="1002">
        <f>IF(ISNUMBER((Datos!M13-Datos!W13)/Datos!W13),(Datos!M13-Datos!W13)/Datos!W13," - ")</f>
        <v>0.40458015267175573</v>
      </c>
      <c r="G13" s="1003">
        <f>IF(ISNUMBER((Datos!N13-Datos!X13)/Datos!X13),(Datos!N13-Datos!X13)/Datos!X13," - ")</f>
        <v>-3.163444639718805E-2</v>
      </c>
      <c r="H13" s="1003">
        <f>IF(ISNUMBER(((NºAsuntos!G13/NºAsuntos!E13)-Datos!BD13)/Datos!BD13),((NºAsuntos!G13/NºAsuntos!E13)-Datos!BD13)/Datos!BD13," - ")</f>
        <v>2.5348801004933478E-2</v>
      </c>
      <c r="I13" s="1003">
        <f>IF(ISNUMBER(((NºAsuntos!I13/NºAsuntos!G13)-Datos!BE13)/Datos!BE13),((NºAsuntos!I13/NºAsuntos!G13)-Datos!BE13)/Datos!BE13," - ")</f>
        <v>0.10776081132658721</v>
      </c>
      <c r="J13" s="1003">
        <f>IF(ISNUMBER((('Resol  Asuntos'!D13/NºAsuntos!G13)-Datos!BF13)/Datos!BF13),(('Resol  Asuntos'!D13/NºAsuntos!G13)-Datos!BF13)/Datos!BF13," - ")</f>
        <v>-0.38974825137588853</v>
      </c>
      <c r="K13" s="1003">
        <f>IF(ISNUMBER((((NºAsuntos!C13+NºAsuntos!E13)/NºAsuntos!G13)-Datos!BG13)/Datos!BG13),(((NºAsuntos!C13+NºAsuntos!E13)/NºAsuntos!G13)-Datos!BG13)/Datos!BG13," - ")</f>
        <v>8.6472313937193457E-2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0.26127819548872183</v>
      </c>
      <c r="C15" s="472">
        <f>IF(ISNUMBER(
   IF(D_I="SI",(Datos!J15-Datos!T15)/Datos!T15,(Datos!J15+Datos!AD15-(Datos!T15+Datos!AL15))/(Datos!T15+Datos!AL15))
     ),IF(D_I="SI",(Datos!J15-Datos!T15)/Datos!T15,(Datos!J15+Datos!AD15-(Datos!T15+Datos!AL15))/(Datos!T15+Datos!AL15))," - ")</f>
        <v>-0.2257142857142857</v>
      </c>
      <c r="D15" s="472">
        <f>IF(ISNUMBER(
   IF(D_I="SI",(Datos!K15-Datos!U15)/Datos!U15,(Datos!K15+Datos!AE15-(Datos!U15+Datos!AM15))/(Datos!U15+Datos!AM15))
     ),IF(D_I="SI",(Datos!K15-Datos!U15)/Datos!U15,(Datos!K15+Datos!AE15-(Datos!U15+Datos!AM15))/(Datos!U15+Datos!AM15))," - ")</f>
        <v>-0.19869174161896974</v>
      </c>
      <c r="E15" s="472">
        <f>IF(ISNUMBER(
   IF(D_I="SI",(Datos!L15-Datos!V15)/Datos!V15,(Datos!L15+Datos!AF15-(Datos!V15+Datos!AN15))/(Datos!V15+Datos!AN15))
     ),IF(D_I="SI",(Datos!L15-Datos!V15)/Datos!V15,(Datos!L15+Datos!AF15-(Datos!V15+Datos!AN15))/(Datos!V15+Datos!AN15))," - ")</f>
        <v>0.15216572504708098</v>
      </c>
      <c r="F15" s="472">
        <f>IF(ISNUMBER((Datos!M15-Datos!W15)/Datos!W15),(Datos!M15-Datos!W15)/Datos!W15," - ")</f>
        <v>-0.16</v>
      </c>
      <c r="G15" s="473">
        <f>IF(ISNUMBER((Datos!N15-Datos!X15)/Datos!X15),(Datos!N15-Datos!X15)/Datos!X15," - ")</f>
        <v>-0.2266839378238342</v>
      </c>
      <c r="H15" s="471">
        <f>IF(ISNUMBER(((NºAsuntos!G15/NºAsuntos!E15)-Datos!BD15)/Datos!BD15),((NºAsuntos!G15/NºAsuntos!E15)-Datos!BD15)/Datos!BD15," - ")</f>
        <v>3.4899964698747545E-2</v>
      </c>
      <c r="I15" s="472">
        <f>IF(ISNUMBER(((NºAsuntos!I15/NºAsuntos!G15)-Datos!BE15)/Datos!BE15),((NºAsuntos!I15/NºAsuntos!G15)-Datos!BE15)/Datos!BE15," - ")</f>
        <v>0.43785579768630606</v>
      </c>
      <c r="J15" s="477">
        <f>IF(ISNUMBER((('Resol  Asuntos'!D15/NºAsuntos!G15)-Datos!BF15)/Datos!BF15),(('Resol  Asuntos'!D15/NºAsuntos!G15)-Datos!BF15)/Datos!BF15," - ")</f>
        <v>4.8285714285714182E-2</v>
      </c>
      <c r="K15" s="478">
        <f>IF(ISNUMBER((((NºAsuntos!C15+NºAsuntos!E15)/NºAsuntos!G15)-Datos!BG15)/Datos!BG15),(((NºAsuntos!C15+NºAsuntos!E15)/NºAsuntos!G15)-Datos!BG15)/Datos!BG15," - ")</f>
        <v>0.2997697635010681</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f>IF(ISNUMBER(
   IF(D_I="SI",(Datos!L16-Datos!V16)/Datos!V16,(Datos!L16+Datos!AF16-(Datos!V16+Datos!AN16))/(Datos!V16+Datos!AN16))
     ),IF(D_I="SI",(Datos!L16-Datos!V16)/Datos!V16,(Datos!L16+Datos!AF16-(Datos!V16+Datos!AN16))/(Datos!V16+Datos!AN16))," - ")</f>
        <v>0</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0.72784810126582278</v>
      </c>
      <c r="C17" s="472">
        <f>IF(ISNUMBER(
   IF(D_I="SI",(Datos!J17-Datos!T17)/Datos!T17,(Datos!J17+Datos!AD17-(Datos!T17+Datos!AL17))/(Datos!T17+Datos!AL17))
     ),IF(D_I="SI",(Datos!J17-Datos!T17)/Datos!T17,(Datos!J17+Datos!AD17-(Datos!T17+Datos!AL17))/(Datos!T17+Datos!AL17))," - ")</f>
        <v>-0.1529051987767584</v>
      </c>
      <c r="D17" s="472">
        <f>IF(ISNUMBER(
   IF(D_I="SI",(Datos!K17-Datos!U17)/Datos!U17,(Datos!K17+Datos!AE17-(Datos!U17+Datos!AM17))/(Datos!U17+Datos!AM17))
     ),IF(D_I="SI",(Datos!K17-Datos!U17)/Datos!U17,(Datos!K17+Datos!AE17-(Datos!U17+Datos!AM17))/(Datos!U17+Datos!AM17))," - ")</f>
        <v>-0.15753424657534246</v>
      </c>
      <c r="E17" s="472">
        <f>IF(ISNUMBER(
   IF(D_I="SI",(Datos!L17-Datos!V17)/Datos!V17,(Datos!L17+Datos!AF17-(Datos!V17+Datos!AN17))/(Datos!V17+Datos!AN17))
     ),IF(D_I="SI",(Datos!L17-Datos!V17)/Datos!V17,(Datos!L17+Datos!AF17-(Datos!V17+Datos!AN17))/(Datos!V17+Datos!AN17))," - ")</f>
        <v>0.57512953367875652</v>
      </c>
      <c r="F17" s="472">
        <f>IF(ISNUMBER((Datos!M17-Datos!W17)/Datos!W17),(Datos!M17-Datos!W17)/Datos!W17," - ")</f>
        <v>-9.8765432098765427E-2</v>
      </c>
      <c r="G17" s="473">
        <f>IF(ISNUMBER((Datos!N17-Datos!X17)/Datos!X17),(Datos!N17-Datos!X17)/Datos!X17," - ")</f>
        <v>-0.20289855072463769</v>
      </c>
      <c r="H17" s="471">
        <f>IF(ISNUMBER(((NºAsuntos!G17/NºAsuntos!E17)-Datos!BD17)/Datos!BD17),((NºAsuntos!G17/NºAsuntos!E17)-Datos!BD17)/Datos!BD17," - ")</f>
        <v>-5.4646159932743733E-3</v>
      </c>
      <c r="I17" s="472">
        <f>IF(ISNUMBER(((NºAsuntos!I17/NºAsuntos!G17)-Datos!BE17)/Datos!BE17),((NºAsuntos!I17/NºAsuntos!G17)-Datos!BE17)/Datos!BE17," - ")</f>
        <v>0.86966595054551599</v>
      </c>
      <c r="J17" s="477">
        <f>IF(ISNUMBER((('Resol  Asuntos'!D17/NºAsuntos!G17)-Datos!BF17)/Datos!BF17),(('Resol  Asuntos'!D17/NºAsuntos!G17)-Datos!BF17)/Datos!BF17," - ")</f>
        <v>6.9758104988457317E-2</v>
      </c>
      <c r="K17" s="478">
        <f>IF(ISNUMBER((((NºAsuntos!C17+NºAsuntos!E17)/NºAsuntos!G17)-Datos!BG17)/Datos!BG17),(((NºAsuntos!C17+NºAsuntos!E17)/NºAsuntos!G17)-Datos!BG17)/Datos!BG17," - ")</f>
        <v>0.3460732545469784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0.29314110965487111</v>
      </c>
      <c r="C18" s="1001">
        <f>IF(ISNUMBER(
   IF(Criterios!B14="SI",(Datos!J18-Datos!T18)/Datos!T18,(Datos!J18+Datos!AD18-(Datos!T18+Datos!AL18))/(Datos!T18+Datos!AL18))
     ),IF(Criterios!B14="SI",(Datos!J18-Datos!T18)/Datos!T18,(Datos!J18+Datos!AD18-(Datos!T18+Datos!AL18))/(Datos!T18+Datos!AL18))," - ")</f>
        <v>-0.21425132402503611</v>
      </c>
      <c r="D18" s="1001">
        <f>IF(ISNUMBER(
   IF(Criterios!B14="SI",(Datos!K18-Datos!U18)/Datos!U18,(Datos!K18+Datos!AE18-(Datos!U18+Datos!AM18))/(Datos!U18+Datos!AM18))
     ),IF(Criterios!B14="SI",(Datos!K18-Datos!U18)/Datos!U18,(Datos!K18+Datos!AE18-(Datos!U18+Datos!AM18))/(Datos!U18+Datos!AM18))," - ")</f>
        <v>-0.19075907590759075</v>
      </c>
      <c r="E18" s="1001">
        <f>IF(ISNUMBER(
   IF(Criterios!B14="SI",(Datos!L18-Datos!V18)/Datos!V18,(Datos!L18+Datos!AF18-(Datos!V18+Datos!AN18))/(Datos!V18+Datos!AN18))
     ),IF(Criterios!B14="SI",(Datos!L18-Datos!V18)/Datos!V18,(Datos!L18+Datos!AF18-(Datos!V18+Datos!AN18))/(Datos!V18+Datos!AN18))," - ")</f>
        <v>0.18063837250087689</v>
      </c>
      <c r="F18" s="1002">
        <f>IF(ISNUMBER((Datos!M18-Datos!W18)/Datos!W18),(Datos!M18-Datos!W18)/Datos!W18," - ")</f>
        <v>-0.140625</v>
      </c>
      <c r="G18" s="1003">
        <f>IF(ISNUMBER((Datos!N18-Datos!X18)/Datos!X18),(Datos!N18-Datos!X18)/Datos!X18," - ")</f>
        <v>-0.22307692307692309</v>
      </c>
      <c r="H18" s="1003">
        <f>IF(ISNUMBER(((NºAsuntos!G18/NºAsuntos!E18)-Datos!BD18)/Datos!BD18),((NºAsuntos!G18/NºAsuntos!E18)-Datos!BD18)/Datos!BD18," - ")</f>
        <v>2.9897916262214507E-2</v>
      </c>
      <c r="I18" s="1003">
        <f>IF(ISNUMBER(((NºAsuntos!I18/NºAsuntos!G18)-Datos!BE18)/Datos!BE18),((NºAsuntos!I18/NºAsuntos!G18)-Datos!BE18)/Datos!BE18," - ")</f>
        <v>0.45894546030899552</v>
      </c>
      <c r="J18" s="1003">
        <f>IF(ISNUMBER((('Resol  Asuntos'!D18/NºAsuntos!G18)-Datos!BF18)/Datos!BF18),(('Resol  Asuntos'!D18/NºAsuntos!G18)-Datos!BF18)/Datos!BF18," - ")</f>
        <v>6.1951977977161517E-2</v>
      </c>
      <c r="K18" s="1003">
        <f>IF(ISNUMBER((((NºAsuntos!C18+NºAsuntos!E18)/NºAsuntos!G18)-Datos!BG18)/Datos!BG18),(((NºAsuntos!C18+NºAsuntos!E18)/NºAsuntos!G18)-Datos!BG18)/Datos!BG18," - ")</f>
        <v>0.29969159581789873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0.2312345339565576</v>
      </c>
      <c r="C19" s="948">
        <f>IF(ISNUMBER(
   IF(J_V="SI",(Datos!J19-Datos!T19)/Datos!T19,(Datos!J19+Datos!Z19-(Datos!T19+Datos!AH19))/(Datos!T19+Datos!AH19))
     ),IF(J_V="SI",(Datos!J19-Datos!T19)/Datos!T19,(Datos!J19+Datos!Z19-(Datos!T19+Datos!AH19))/(Datos!T19+Datos!AH19))," - ")</f>
        <v>-0.10018852679773768</v>
      </c>
      <c r="D19" s="948">
        <f>IF(ISNUMBER(
   IF(J_V="SI",(Datos!K19-Datos!U19)/Datos!U19,(Datos!K19+Datos!AA19-(Datos!U19+Datos!AI19))/(Datos!U19+Datos!AI19))
     ),IF(J_V="SI",(Datos!K19-Datos!U19)/Datos!U19,(Datos!K19+Datos!AA19-(Datos!U19+Datos!AI19))/(Datos!U19+Datos!AI19))," - ")</f>
        <v>-6.9429684732554023E-2</v>
      </c>
      <c r="E19" s="948">
        <f>IF(ISNUMBER(
   IF(J_V="SI",(Datos!L19-Datos!V19)/Datos!V19,(Datos!L19+Datos!AB19-(Datos!V19+Datos!AJ19))/(Datos!V19+Datos!AJ19))
     ),IF(J_V="SI",(Datos!L19-Datos!V19)/Datos!V19,(Datos!L19+Datos!AB19-(Datos!V19+Datos!AJ19))/(Datos!V19+Datos!AJ19))," - ")</f>
        <v>0.18446839784419403</v>
      </c>
      <c r="F19" s="949">
        <f>IF(ISNUMBER((Datos!M19-Datos!W19)/Datos!W19),(Datos!M19-Datos!W19)/Datos!W19," - ")</f>
        <v>0.13513513513513514</v>
      </c>
      <c r="G19" s="950">
        <f>IF(ISNUMBER((Datos!N19-Datos!X19)/Datos!X19),(Datos!N19-Datos!X19)/Datos!X19," - ")</f>
        <v>-0.14942528735632185</v>
      </c>
      <c r="H19" s="951">
        <f>IF(ISNUMBER((Tasas!B19-Datos!BD19)/Datos!BD19),(Tasas!B19-Datos!BD19)/Datos!BD19," - ")</f>
        <v>3.4183651777320273E-2</v>
      </c>
      <c r="I19" s="952">
        <f>IF(ISNUMBER((Tasas!C19-Datos!BE19)/Datos!BE19),(Tasas!C19-Datos!BE19)/Datos!BE19," - ")</f>
        <v>0.27284137309256173</v>
      </c>
      <c r="J19" s="953">
        <f>IF(ISNUMBER((Tasas!D19-Datos!BF19)/Datos!BF19),(Tasas!D19-Datos!BF19)/Datos!BF19," - ")</f>
        <v>-0.22848525665427072</v>
      </c>
      <c r="K19" s="953">
        <f>IF(ISNUMBER((Tasas!E19-Datos!BG19)/Datos!BG19),(Tasas!E19-Datos!BG19)/Datos!BG19," - ")</f>
        <v>0.20273750522687498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s1cY4SPvILQs+bkZ+DszqqYcckrGnIY+kHsHkWC5dFzJnIXUj3SDuPP0w1w6MKMT7W0KjI7srf/e0TB5c2Dg==" saltValue="iRytRE6BD2prnEWHBm5pP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ISLAS BALEARES</v>
      </c>
    </row>
    <row r="3" spans="1:7" ht="19.5">
      <c r="A3" s="452" t="s">
        <v>12</v>
      </c>
      <c r="B3" s="402" t="str">
        <f>Criterios!A10 &amp;"  "&amp;Criterios!B10</f>
        <v>Provincias  ILLES BALEARS</v>
      </c>
    </row>
    <row r="4" spans="1:7" ht="11.25" customHeight="1" thickBot="1">
      <c r="B4" s="402" t="str">
        <f>Criterios!A11 &amp;"  "&amp;Criterios!B11</f>
        <v>Resumenes por Partidos Judiciales  INCA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0.81775147928994085</v>
      </c>
      <c r="C9" s="459">
        <f>IF(ISNUMBER(NºAsuntos!I9/NºAsuntos!G9),NºAsuntos!I9/NºAsuntos!G9," - ")</f>
        <v>4.5072358900144716</v>
      </c>
      <c r="D9" s="460">
        <f>IF(ISNUMBER('Resol  Asuntos'!D9/NºAsuntos!G9),'Resol  Asuntos'!D9/NºAsuntos!G9," - ")</f>
        <v>0.25687409551374818</v>
      </c>
      <c r="E9" s="461">
        <f>IF(ISNUMBER((NºAsuntos!C9+NºAsuntos!E9)/NºAsuntos!G9),(NºAsuntos!C9+NºAsuntos!E9)/NºAsuntos!G9," - ")</f>
        <v>5.5072358900144716</v>
      </c>
      <c r="G9" s="479"/>
    </row>
    <row r="10" spans="1:7">
      <c r="A10" s="413" t="str">
        <f>Datos!A10</f>
        <v>Jdos. Violencia contra la mujer</v>
      </c>
      <c r="B10" s="458">
        <f>IF(ISNUMBER(NºAsuntos!G10/NºAsuntos!E10),NºAsuntos!G10/NºAsuntos!E10," - ")</f>
        <v>1</v>
      </c>
      <c r="C10" s="459">
        <f>IF(ISNUMBER(NºAsuntos!I10/NºAsuntos!G10),NºAsuntos!I10/NºAsuntos!G10," - ")</f>
        <v>3.9473684210526314</v>
      </c>
      <c r="D10" s="460">
        <f>IF(ISNUMBER('Resol  Asuntos'!D10/NºAsuntos!G10),'Resol  Asuntos'!D10/NºAsuntos!G10," - ")</f>
        <v>0.68421052631578949</v>
      </c>
      <c r="E10" s="461">
        <f>IF(ISNUMBER((NºAsuntos!C10+NºAsuntos!E10)/NºAsuntos!G10),(NºAsuntos!C10+NºAsuntos!E10)/NºAsuntos!G10," - ")</f>
        <v>4.9473684210526319</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0.81977764774722062</v>
      </c>
      <c r="C13" s="1005">
        <f>IF(ISNUMBER(NºAsuntos!I13/NºAsuntos!G13),NºAsuntos!I13/NºAsuntos!G13," - ")</f>
        <v>4.4996431120628122</v>
      </c>
      <c r="D13" s="1006">
        <f>IF(ISNUMBER('Resol  Asuntos'!D13/NºAsuntos!G13),'Resol  Asuntos'!D13/NºAsuntos!G13," - ")</f>
        <v>0.26266952177016417</v>
      </c>
      <c r="E13" s="1007">
        <f>IF(ISNUMBER((NºAsuntos!C13+NºAsuntos!E13)/NºAsuntos!G13),(NºAsuntos!C13+NºAsuntos!E13)/NºAsuntos!G13," - ")</f>
        <v>5.4996431120628122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0.7232472324723247</v>
      </c>
      <c r="C15" s="459">
        <f>IF(ISNUMBER(NºAsuntos!I15/NºAsuntos!G15),NºAsuntos!I15/NºAsuntos!G15," - ")</f>
        <v>3.1214285714285714</v>
      </c>
      <c r="D15" s="460">
        <f>IF(ISNUMBER('Resol  Asuntos'!D15/NºAsuntos!G15),'Resol  Asuntos'!D15/NºAsuntos!G15," - ")</f>
        <v>0.15</v>
      </c>
      <c r="E15" s="461">
        <f>IF(ISNUMBER((NºAsuntos!C15+NºAsuntos!E15)/NºAsuntos!G15),(NºAsuntos!C15+NºAsuntos!E15)/NºAsuntos!G15," - ")</f>
        <v>4.121428571428571</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0.88808664259927794</v>
      </c>
      <c r="C17" s="459">
        <f>IF(ISNUMBER(NºAsuntos!I17/NºAsuntos!G17),NºAsuntos!I17/NºAsuntos!G17," - ")</f>
        <v>1.2357723577235773</v>
      </c>
      <c r="D17" s="460">
        <f>IF(ISNUMBER('Resol  Asuntos'!D17/NºAsuntos!G17),'Resol  Asuntos'!D17/NºAsuntos!G17," - ")</f>
        <v>0.2967479674796748</v>
      </c>
      <c r="E17" s="461">
        <f>IF(ISNUMBER((NºAsuntos!C17+NºAsuntos!E17)/NºAsuntos!G17),(NºAsuntos!C17+NºAsuntos!E17)/NºAsuntos!G17," - ")</f>
        <v>2.2357723577235773</v>
      </c>
      <c r="G17" s="479"/>
    </row>
    <row r="18" spans="1:7" ht="14.25" thickTop="1" thickBot="1">
      <c r="A18" s="994" t="str">
        <f>Datos!A18</f>
        <v>TOTAL</v>
      </c>
      <c r="B18" s="1004">
        <f>IF(ISNUMBER(NºAsuntos!G18/NºAsuntos!E18),NºAsuntos!G18/NºAsuntos!E18," - ")</f>
        <v>0.75122549019607843</v>
      </c>
      <c r="C18" s="1005">
        <f>IF(ISNUMBER(NºAsuntos!I18/NºAsuntos!G18),NºAsuntos!I18/NºAsuntos!G18," - ")</f>
        <v>2.7455138662316476</v>
      </c>
      <c r="D18" s="1008">
        <f>IF(ISNUMBER('Resol  Asuntos'!D18/NºAsuntos!G18),'Resol  Asuntos'!D18/NºAsuntos!G18," - ")</f>
        <v>0.17944535073409462</v>
      </c>
      <c r="E18" s="1007">
        <f>IF(ISNUMBER((NºAsuntos!C18+NºAsuntos!E18)/NºAsuntos!G18),(NºAsuntos!C18+NºAsuntos!E18)/NºAsuntos!G18," - ")</f>
        <v>3.7455138662316476</v>
      </c>
      <c r="G18" s="479"/>
    </row>
    <row r="19" spans="1:7" ht="15.75" customHeight="1" thickTop="1" thickBot="1">
      <c r="A19" s="939" t="str">
        <f>Datos!A19</f>
        <v>TOTAL JURISDICCIONES</v>
      </c>
      <c r="B19" s="954">
        <f>IF(ISNUMBER(NºAsuntos!G19/NºAsuntos!E19),NºAsuntos!G19/NºAsuntos!E19," - ")</f>
        <v>0.78629152948219094</v>
      </c>
      <c r="C19" s="955">
        <f>IF(ISNUMBER(NºAsuntos!I19/NºAsuntos!G19),NºAsuntos!I19/NºAsuntos!G19," - ")</f>
        <v>3.6810049486105823</v>
      </c>
      <c r="D19" s="956">
        <f>IF(ISNUMBER('Resol  Asuntos'!D19/NºAsuntos!G19),'Resol  Asuntos'!D19/NºAsuntos!G19," - ")</f>
        <v>0.223829463266083</v>
      </c>
      <c r="E19" s="957">
        <f>IF(ISNUMBER((NºAsuntos!C19+NºAsuntos!E19)/NºAsuntos!G19),(NºAsuntos!C19+NºAsuntos!E19)/NºAsuntos!G19," - ")</f>
        <v>4.6810049486105827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5mweQcmeQ74QcZm/CKT0+enb6i2uC5Gcktvq9irGhYo5QvepyuSbGPc2bi+7mpRetMxmb9ZBMvA44IPj5AqBYw==" saltValue="QFCwRbID1dtar8thmKS2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ISLAS BALEARES</v>
      </c>
      <c r="G2" s="339"/>
      <c r="H2" s="338"/>
      <c r="I2" s="338"/>
      <c r="J2" s="338"/>
      <c r="K2" s="338"/>
      <c r="L2" s="338" t="str">
        <f>Criterios!A10 &amp;"  "&amp;Criterios!B10</f>
        <v>Provincias  ILLES BALEARS</v>
      </c>
      <c r="N2" s="338" t="str">
        <f>Criterios!A11 &amp;"  "&amp;Criterios!B11</f>
        <v>Resumenes por Partidos Judiciales  INCA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583</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842</v>
      </c>
      <c r="AX5" s="1415" t="s">
        <v>324</v>
      </c>
      <c r="AY5" s="1415" t="s">
        <v>753</v>
      </c>
      <c r="AZ5" s="1415" t="s">
        <v>754</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249</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380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218</v>
      </c>
      <c r="Y9" s="343">
        <f>SUM(W9:X9)</f>
        <v>218</v>
      </c>
      <c r="Z9" s="344" t="str">
        <f>IF(ISNUMBER(Datos!CC9),Datos!CC9," - ")</f>
        <v xml:space="preserve"> - </v>
      </c>
      <c r="AA9" s="341" t="str">
        <f>IF(ISNUMBER(IF(J_V="SI",Datos!L9,Datos!L9+Datos!AB9)-IF(Monitorios="SI",Datos!CD9,0)),
                          IF(J_V="SI",Datos!L9,Datos!L9+Datos!AB9)-IF(Monitorios="SI",Datos!CD9,0),
                          " - ")</f>
        <v xml:space="preserve"> - </v>
      </c>
      <c r="AB9" s="343">
        <f>IF(ISNUMBER(Datos!R9),Datos!R9," - ")</f>
        <v>8766</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355</v>
      </c>
      <c r="AJ9" s="233" t="str">
        <f>IF(ISNUMBER(Datos!BW9),Datos!BW9," - ")</f>
        <v xml:space="preserve"> - </v>
      </c>
      <c r="AK9" s="232" t="str">
        <f>IF(ISNUMBER(Datos!BX9),Datos!BX9," - ")</f>
        <v xml:space="preserve"> - </v>
      </c>
      <c r="AL9" s="247">
        <f>IF(ISNUMBER(NºAsuntos!G9/NºAsuntos!E9),NºAsuntos!G9/NºAsuntos!E9," - ")</f>
        <v>0.81775147928994085</v>
      </c>
      <c r="AM9" s="264">
        <f>IF(ISNUMBER(((NºAsuntos!I9/NºAsuntos!G9)*11)/factor_trimestre),((NºAsuntos!I9/NºAsuntos!G9)*11)/factor_trimestre," - ")</f>
        <v>9.0144717800289431</v>
      </c>
      <c r="AN9" s="248">
        <f>IF(ISNUMBER('Resol  Asuntos'!D9/NºAsuntos!G9),'Resol  Asuntos'!D9/NºAsuntos!G9," - ")</f>
        <v>0.25687409551374818</v>
      </c>
      <c r="AO9" s="249">
        <f>IF(ISNUMBER((NºAsuntos!C9+NºAsuntos!E9)/NºAsuntos!G9),(NºAsuntos!C9+NºAsuntos!E9)/NºAsuntos!G9," - ")</f>
        <v>5.5072358900144716</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75</v>
      </c>
      <c r="G10" s="342">
        <f>IF(ISNUMBER(Datos!I10),Datos!I10," - ")</f>
        <v>75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19</v>
      </c>
      <c r="X10" s="230">
        <f>IF(ISNUMBER(Datos!Q10),Datos!Q10," - ")</f>
        <v>0</v>
      </c>
      <c r="Y10" s="343">
        <f t="shared" ref="Y10:Y12" si="0">SUM(W10:X10)</f>
        <v>19</v>
      </c>
      <c r="Z10" s="344" t="str">
        <f>IF(ISNUMBER(Datos!CC10),Datos!CC10," - ")</f>
        <v xml:space="preserve"> - </v>
      </c>
      <c r="AA10" s="341">
        <f>IF(ISNUMBER(Datos!L10),Datos!L10,"-")</f>
        <v>75</v>
      </c>
      <c r="AB10" s="343">
        <f>IF(ISNUMBER(Datos!R10),Datos!R10," - ")</f>
        <v>65</v>
      </c>
      <c r="AC10" s="343">
        <f t="shared" ref="AC10:AC12" si="1">IF(ISNUMBER(AA10+AB10),AA10+AB10," - ")</f>
        <v>140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13</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7.8947368421052628</v>
      </c>
      <c r="AN10" s="248">
        <f>IF(ISNUMBER('Resol  Asuntos'!D10/NºAsuntos!G10),'Resol  Asuntos'!D10/NºAsuntos!G10," - ")</f>
        <v>0.68421052631578949</v>
      </c>
      <c r="AO10" s="249">
        <f>IF(ISNUMBER((NºAsuntos!C10+NºAsuntos!E10)/NºAsuntos!G10),(NºAsuntos!C10+NºAsuntos!E10)/NºAsuntos!G10," - ")</f>
        <v>4.9473684210526319</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75</v>
      </c>
      <c r="G13" s="1012">
        <f t="shared" si="3"/>
        <v>75</v>
      </c>
      <c r="H13" s="1011">
        <f t="shared" si="3"/>
        <v>0</v>
      </c>
      <c r="I13" s="1013">
        <f t="shared" si="3"/>
        <v>0</v>
      </c>
      <c r="J13" s="1013">
        <f t="shared" si="3"/>
        <v>0</v>
      </c>
      <c r="K13" s="1013">
        <f t="shared" si="3"/>
        <v>0</v>
      </c>
      <c r="L13" s="1013">
        <f t="shared" si="3"/>
        <v>380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19</v>
      </c>
      <c r="X13" s="1013">
        <f t="shared" si="4"/>
        <v>218</v>
      </c>
      <c r="Y13" s="1014">
        <f t="shared" si="4"/>
        <v>237</v>
      </c>
      <c r="Z13" s="1014">
        <f t="shared" si="4"/>
        <v>0</v>
      </c>
      <c r="AA13" s="1014">
        <f t="shared" si="4"/>
        <v>75</v>
      </c>
      <c r="AB13" s="1014">
        <f t="shared" si="4"/>
        <v>8831</v>
      </c>
      <c r="AC13" s="1014">
        <f t="shared" si="4"/>
        <v>140</v>
      </c>
      <c r="AD13" s="1014">
        <f t="shared" si="4"/>
        <v>0</v>
      </c>
      <c r="AE13" s="1018">
        <f t="shared" si="4"/>
        <v>0</v>
      </c>
      <c r="AF13" s="1011">
        <f t="shared" si="4"/>
        <v>0</v>
      </c>
      <c r="AG13" s="1019">
        <f t="shared" si="4"/>
        <v>0</v>
      </c>
      <c r="AH13" s="1016">
        <f t="shared" si="4"/>
        <v>0</v>
      </c>
      <c r="AI13" s="1011">
        <f t="shared" si="4"/>
        <v>368</v>
      </c>
      <c r="AJ13" s="1013">
        <f t="shared" si="4"/>
        <v>0</v>
      </c>
      <c r="AK13" s="1016">
        <f>SUBTOTAL(9,AK9:AK12)</f>
        <v>0</v>
      </c>
      <c r="AL13" s="1020">
        <f>IF(ISNUMBER(NºAsuntos!G13/NºAsuntos!E13),NºAsuntos!G13/NºAsuntos!E13," - ")</f>
        <v>0.81977764774722062</v>
      </c>
      <c r="AM13" s="1020">
        <f>IF(ISNUMBER(((NºAsuntos!I13/NºAsuntos!G13)*11)/factor_trimestre),((NºAsuntos!I13/NºAsuntos!G13)*11)/factor_trimestre," - ")</f>
        <v>8.9992862241256244</v>
      </c>
      <c r="AN13" s="1021">
        <f>IF(ISNUMBER('Resol  Asuntos'!D13/NºAsuntos!G13),'Resol  Asuntos'!D13/NºAsuntos!G13," - ")</f>
        <v>0.26266952177016417</v>
      </c>
      <c r="AO13" s="1022">
        <f>IF(ISNUMBER((NºAsuntos!C13+NºAsuntos!E13)/NºAsuntos!G13),(NºAsuntos!C13+NºAsuntos!E13)/NºAsuntos!G13," - ")</f>
        <v>5.4996431120628122</v>
      </c>
      <c r="AP13" s="1023" t="str">
        <f t="shared" si="2"/>
        <v xml:space="preserve"> - </v>
      </c>
      <c r="AQ13" s="1023">
        <f>IF(ISNUMBER((H13-W13+K13)/(F13)),(H13-W13+K13)/(F13)," - ")</f>
        <v>-0.25333333333333335</v>
      </c>
      <c r="AR13" s="1024">
        <f>IF(ISNUMBER((Datos!P13-Datos!Q13)/(Datos!R13-Datos!P13+Datos!Q13)),(Datos!P13-Datos!Q13)/(Datos!R13-Datos!P13+Datos!Q13)," - ")</f>
        <v>1.8687276502480102E-2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400</v>
      </c>
      <c r="C15" s="164" t="str">
        <f>Datos!A15</f>
        <v xml:space="preserve">Jdos. Instrucción                               </v>
      </c>
      <c r="D15" s="164"/>
      <c r="E15" s="1201">
        <f>IF(ISNUMBER(Datos!AQ15),Datos!AQ15," - ")</f>
        <v>3</v>
      </c>
      <c r="F15" s="229">
        <f>IF(ISNUMBER(AA15+W15-Datos!J15-K15),AA15+W15-Datos!J15-K15," - ")</f>
        <v>2684</v>
      </c>
      <c r="G15" s="342">
        <f>IF(ISNUMBER(IF(D_I="SI",Datos!I15,Datos!I15+Datos!AC15)),IF(D_I="SI",Datos!I15,Datos!I15+Datos!AC15)," - ")</f>
        <v>2684</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14</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980</v>
      </c>
      <c r="X15" s="230">
        <f>IF(ISNUMBER(Datos!Q15),Datos!Q15," - ")</f>
        <v>12</v>
      </c>
      <c r="Y15" s="343">
        <f>SUM(W15)</f>
        <v>980</v>
      </c>
      <c r="Z15" s="344" t="str">
        <f>IF(ISNUMBER(Datos!CC15),Datos!CC15," - ")</f>
        <v xml:space="preserve"> - </v>
      </c>
      <c r="AA15" s="341">
        <f>IF(ISNUMBER(IF(D_I="SI",Datos!L15,Datos!L15+Datos!AF15)),IF(D_I="SI",Datos!L15,Datos!L15+Datos!AF15)," - ")</f>
        <v>3059</v>
      </c>
      <c r="AB15" s="343">
        <f>IF(ISNUMBER(Datos!R15),Datos!R15," - ")</f>
        <v>150</v>
      </c>
      <c r="AC15" s="343">
        <f t="shared" ref="AC15:AC17" si="6">IF(ISNUMBER(AA15+AB15),AA15+AB15," - ")</f>
        <v>3209</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147</v>
      </c>
      <c r="AJ15" s="235" t="str">
        <f>IF(ISNUMBER(Datos!BW15),Datos!BW15," - ")</f>
        <v xml:space="preserve"> - </v>
      </c>
      <c r="AK15" s="236" t="str">
        <f>IF(ISNUMBER(Datos!BX15),Datos!BX15," - ")</f>
        <v xml:space="preserve"> - </v>
      </c>
      <c r="AL15" s="247">
        <f>IF(ISNUMBER(NºAsuntos!G15/NºAsuntos!E15),NºAsuntos!G15/NºAsuntos!E15," - ")</f>
        <v>0.7232472324723247</v>
      </c>
      <c r="AM15" s="264">
        <f>IF(ISNUMBER(((NºAsuntos!I15/NºAsuntos!G15)*11)/factor_trimestre),((NºAsuntos!I15/NºAsuntos!G15)*11)/factor_trimestre," - ")</f>
        <v>6.2428571428571438</v>
      </c>
      <c r="AN15" s="248">
        <f>IF(ISNUMBER('Resol  Asuntos'!D15/NºAsuntos!G15),'Resol  Asuntos'!D15/NºAsuntos!G15," - ")</f>
        <v>0.15</v>
      </c>
      <c r="AO15" s="249">
        <f>IF(ISNUMBER((NºAsuntos!C15+NºAsuntos!E15)/NºAsuntos!G15),(NºAsuntos!C15+NºAsuntos!E15)/NºAsuntos!G15," - ")</f>
        <v>4.121428571428571</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f>IF(ISNUMBER(AA16+W16-Datos!J16-K16),AA16+W16-Datos!J16-K16," - ")</f>
        <v>3</v>
      </c>
      <c r="G16" s="342">
        <f>IF(ISNUMBER(IF(D_I="SI",Datos!I16,Datos!I16+Datos!AC16)),IF(D_I="SI",Datos!I16,Datos!I16+Datos!AC16)," - ")</f>
        <v>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0</v>
      </c>
      <c r="X16" s="230">
        <f>IF(ISNUMBER(Datos!Q16),Datos!Q16," - ")</f>
        <v>0</v>
      </c>
      <c r="Y16" s="343">
        <f t="shared" ref="Y16:Y17" si="7">SUM(W16:X16)</f>
        <v>0</v>
      </c>
      <c r="Z16" s="344" t="str">
        <f>IF(ISNUMBER(Datos!CC16),Datos!CC16," - ")</f>
        <v xml:space="preserve"> - </v>
      </c>
      <c r="AA16" s="341">
        <f>IF(ISNUMBER(IF(D_I="SI",Datos!L16,Datos!L16+Datos!AF16)),IF(D_I="SI",Datos!L16,Datos!L16+Datos!AF16)," - ")</f>
        <v>3</v>
      </c>
      <c r="AB16" s="343">
        <f>IF(ISNUMBER(Datos!R16),Datos!R16," - ")</f>
        <v>1</v>
      </c>
      <c r="AC16" s="343">
        <f t="shared" si="6"/>
        <v>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0</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273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246</v>
      </c>
      <c r="X17" s="230">
        <f>IF(ISNUMBER(Datos!Q17),Datos!Q17," - ")</f>
        <v>1</v>
      </c>
      <c r="Y17" s="343">
        <f t="shared" si="7"/>
        <v>247</v>
      </c>
      <c r="Z17" s="344" t="str">
        <f>IF(ISNUMBER(Datos!CC17),Datos!CC17," - ")</f>
        <v xml:space="preserve"> - </v>
      </c>
      <c r="AA17" s="341">
        <f>IF(ISNUMBER(Datos!L17),Datos!L17,"-")</f>
        <v>304</v>
      </c>
      <c r="AB17" s="343">
        <f>IF(ISNUMBER(Datos!R17),Datos!R17," - ")</f>
        <v>19</v>
      </c>
      <c r="AC17" s="343">
        <f t="shared" si="6"/>
        <v>323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73</v>
      </c>
      <c r="AJ17" s="235" t="str">
        <f>IF(ISNUMBER(Datos!BW17),Datos!BW17," - ")</f>
        <v xml:space="preserve"> - </v>
      </c>
      <c r="AK17" s="236" t="str">
        <f>IF(ISNUMBER(Datos!BX17),Datos!BX17," - ")</f>
        <v xml:space="preserve"> - </v>
      </c>
      <c r="AL17" s="247">
        <f>IF(ISNUMBER(NºAsuntos!G17/NºAsuntos!E17),NºAsuntos!G17/NºAsuntos!E17," - ")</f>
        <v>0.88808664259927794</v>
      </c>
      <c r="AM17" s="264">
        <f>IF(ISNUMBER(((NºAsuntos!I17/NºAsuntos!G17)*11)/factor_trimestre),((NºAsuntos!I17/NºAsuntos!G17)*11)/factor_trimestre," - ")</f>
        <v>2.4715447154471546</v>
      </c>
      <c r="AN17" s="248">
        <f>IF(ISNUMBER('Resol  Asuntos'!D17/NºAsuntos!G17),'Resol  Asuntos'!D17/NºAsuntos!G17," - ")</f>
        <v>0.2967479674796748</v>
      </c>
      <c r="AO17" s="249">
        <f>IF(ISNUMBER((NºAsuntos!C17+NºAsuntos!E17)/NºAsuntos!G17),(NºAsuntos!C17+NºAsuntos!E17)/NºAsuntos!G17," - ")</f>
        <v>2.2357723577235773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2687</v>
      </c>
      <c r="G18" s="1012">
        <f>SUBTOTAL(9,G15:G17)</f>
        <v>2960</v>
      </c>
      <c r="H18" s="1011">
        <f t="shared" ref="H18:O18" si="10">SUBTOTAL(9,H14:H17)</f>
        <v>0</v>
      </c>
      <c r="I18" s="1013">
        <f t="shared" si="10"/>
        <v>0</v>
      </c>
      <c r="J18" s="1013">
        <f t="shared" si="10"/>
        <v>0</v>
      </c>
      <c r="K18" s="1013">
        <f t="shared" si="10"/>
        <v>0</v>
      </c>
      <c r="L18" s="1013">
        <f t="shared" si="10"/>
        <v>14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1226</v>
      </c>
      <c r="X18" s="1013">
        <f t="shared" si="11"/>
        <v>13</v>
      </c>
      <c r="Y18" s="1014">
        <f t="shared" si="11"/>
        <v>1227</v>
      </c>
      <c r="Z18" s="1014">
        <f t="shared" si="11"/>
        <v>0</v>
      </c>
      <c r="AA18" s="1014">
        <f t="shared" si="11"/>
        <v>3366</v>
      </c>
      <c r="AB18" s="1014">
        <f t="shared" si="11"/>
        <v>170</v>
      </c>
      <c r="AC18" s="1014">
        <f t="shared" si="11"/>
        <v>3536</v>
      </c>
      <c r="AD18" s="1014">
        <f t="shared" si="11"/>
        <v>0</v>
      </c>
      <c r="AE18" s="1018">
        <f t="shared" si="11"/>
        <v>0</v>
      </c>
      <c r="AF18" s="1011">
        <f t="shared" si="11"/>
        <v>0</v>
      </c>
      <c r="AG18" s="1019">
        <f t="shared" si="11"/>
        <v>0</v>
      </c>
      <c r="AH18" s="1016">
        <f t="shared" si="11"/>
        <v>0</v>
      </c>
      <c r="AI18" s="1011">
        <f t="shared" si="11"/>
        <v>220</v>
      </c>
      <c r="AJ18" s="1013">
        <f t="shared" si="11"/>
        <v>0</v>
      </c>
      <c r="AK18" s="1016">
        <f t="shared" si="11"/>
        <v>0</v>
      </c>
      <c r="AL18" s="1020">
        <f>IF(ISNUMBER(NºAsuntos!G18/NºAsuntos!E18),NºAsuntos!G18/NºAsuntos!E18," - ")</f>
        <v>0.75122549019607843</v>
      </c>
      <c r="AM18" s="1020">
        <f>IF(ISNUMBER(((NºAsuntos!I18/NºAsuntos!G18)*11)/factor_trimestre),((NºAsuntos!I18/NºAsuntos!G18)*11)/factor_trimestre," - ")</f>
        <v>5.4910277324632952</v>
      </c>
      <c r="AN18" s="1021">
        <f>IF(ISNUMBER('Resol  Asuntos'!D18/NºAsuntos!G18),'Resol  Asuntos'!D18/NºAsuntos!G18," - ")</f>
        <v>0.17944535073409462</v>
      </c>
      <c r="AO18" s="1022">
        <f>IF(ISNUMBER((NºAsuntos!C18+NºAsuntos!E18)/NºAsuntos!G18),(NºAsuntos!C18+NºAsuntos!E18)/NºAsuntos!G18," - ")</f>
        <v>3.7455138662316476</v>
      </c>
      <c r="AP18" s="1023" t="str">
        <f t="shared" si="2"/>
        <v xml:space="preserve"> - </v>
      </c>
      <c r="AQ18" s="1023">
        <f>IF(ISNUMBER((H18-W18+K18)/(F18)),(H18-W18+K18)/(F18)," - ")</f>
        <v>-0.45627093412727948</v>
      </c>
      <c r="AR18" s="1024">
        <f>IF(ISNUMBER((Datos!P18-Datos!Q18)/(Datos!R18-Datos!P18+Datos!Q18)),(Datos!P18-Datos!Q18)/(Datos!R18-Datos!P18+Datos!Q18)," - ")</f>
        <v>5.9171597633136093E-3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2762</v>
      </c>
      <c r="G19" s="967">
        <f t="shared" si="13"/>
        <v>3035</v>
      </c>
      <c r="H19" s="966">
        <f t="shared" si="13"/>
        <v>0</v>
      </c>
      <c r="I19" s="968">
        <f t="shared" si="13"/>
        <v>0</v>
      </c>
      <c r="J19" s="968">
        <f t="shared" si="13"/>
        <v>0</v>
      </c>
      <c r="K19" s="1027">
        <f t="shared" si="13"/>
        <v>0</v>
      </c>
      <c r="L19" s="968">
        <f t="shared" si="13"/>
        <v>394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1245</v>
      </c>
      <c r="X19" s="967">
        <f t="shared" si="14"/>
        <v>231</v>
      </c>
      <c r="Y19" s="974">
        <f t="shared" si="14"/>
        <v>1464</v>
      </c>
      <c r="Z19" s="974">
        <f t="shared" si="14"/>
        <v>0</v>
      </c>
      <c r="AA19" s="974">
        <f t="shared" si="14"/>
        <v>3441</v>
      </c>
      <c r="AB19" s="974">
        <f t="shared" si="14"/>
        <v>9001</v>
      </c>
      <c r="AC19" s="974">
        <f t="shared" si="14"/>
        <v>3676</v>
      </c>
      <c r="AD19" s="974">
        <f t="shared" si="14"/>
        <v>0</v>
      </c>
      <c r="AE19" s="976">
        <f t="shared" si="14"/>
        <v>0</v>
      </c>
      <c r="AF19" s="977">
        <f t="shared" si="14"/>
        <v>0</v>
      </c>
      <c r="AG19" s="978">
        <f t="shared" si="14"/>
        <v>0</v>
      </c>
      <c r="AH19" s="976">
        <f t="shared" si="14"/>
        <v>0</v>
      </c>
      <c r="AI19" s="966">
        <f t="shared" si="14"/>
        <v>588</v>
      </c>
      <c r="AJ19" s="966">
        <f t="shared" si="14"/>
        <v>0</v>
      </c>
      <c r="AK19" s="976">
        <f t="shared" si="14"/>
        <v>0</v>
      </c>
      <c r="AL19" s="1030">
        <f>IF(ISNUMBER(NºAsuntos!G19/NºAsuntos!E19),NºAsuntos!G19/NºAsuntos!E19," - ")</f>
        <v>0.78629152948219094</v>
      </c>
      <c r="AM19" s="1031">
        <f>IF(ISNUMBER(((NºAsuntos!I19/NºAsuntos!G19)*11)/factor_trimestre),((NºAsuntos!I19/NºAsuntos!G19)*11)/factor_trimestre," - ")</f>
        <v>7.3620098972211645</v>
      </c>
      <c r="AN19" s="1031">
        <f>IF(ISNUMBER('Resol  Asuntos'!D19/NºAsuntos!G19),'Resol  Asuntos'!D19/NºAsuntos!G19," - ")</f>
        <v>0.223829463266083</v>
      </c>
      <c r="AO19" s="1032">
        <f>IF(ISNUMBER((NºAsuntos!C19+NºAsuntos!E19)/NºAsuntos!G19),(NºAsuntos!C19+NºAsuntos!E19)/NºAsuntos!G19," - ")</f>
        <v>4.6810049486105827</v>
      </c>
      <c r="AP19" s="1033" t="str">
        <f t="shared" si="2"/>
        <v xml:space="preserve"> - </v>
      </c>
      <c r="AQ19" s="1034">
        <f>IF(OR(ISNUMBER(FIND("01",Criterios!A8,1)),ISNUMBER(FIND("02",Criterios!A8,1)),ISNUMBER(FIND("03",Criterios!A8,1)),ISNUMBER(FIND("04",Criterios!A8,1))),(I19-W19+K19)/(F19-K19),(H19-W19+K19)/(F19-K19))</f>
        <v>-0.45076031860970311</v>
      </c>
      <c r="AR19" s="1035">
        <f>IF(ISNUMBER((Datos!P19-Datos!Q19)/(Datos!R19-Datos!P19+Datos!Q19)),(Datos!P19-Datos!Q19)/(Datos!R19-Datos!P19+Datos!Q19)," - ")</f>
        <v>1.8443086671192578E-2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1011.6666666666666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2.2236106773543889</v>
      </c>
      <c r="F21" s="256">
        <f>IF(ISNUMBER(STDEV(F8:F18)),STDEV(F8:F18),"-")</f>
        <v>1443.2748179054465</v>
      </c>
      <c r="G21" s="257">
        <f>IF(ISNUMBER(STDEV(G8:G18)),STDEV(G8:G18),"-")</f>
        <v>1407.8655712342234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546.14357086758787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152.41828411753406</v>
      </c>
      <c r="AJ21" s="256">
        <f t="shared" si="18"/>
        <v>0</v>
      </c>
      <c r="AK21" s="258">
        <f t="shared" si="18"/>
        <v>0</v>
      </c>
      <c r="AL21" s="253">
        <f t="shared" si="18"/>
        <v>0.10006287987338172</v>
      </c>
      <c r="AM21" s="254">
        <f t="shared" si="18"/>
        <v>2.5147598564516485</v>
      </c>
      <c r="AN21" s="254">
        <f t="shared" si="18"/>
        <v>0.1937863054353646</v>
      </c>
      <c r="AO21" s="255">
        <f t="shared" si="18"/>
        <v>1.2573799282258231</v>
      </c>
      <c r="AP21" s="295" t="str">
        <f t="shared" si="18"/>
        <v>-</v>
      </c>
      <c r="AQ21" s="296">
        <f t="shared" si="18"/>
        <v>0.14349855367912767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kizOmMbzgpGORajTQEBJ76bTcNnquziUn63tdUnNR7Eeubi/khftoD1UBx6AgqST1AkH+JZ5rdD0ctGJnOVeBg==" saltValue="259uazfwtunZ30Lllxf3d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ISLAS BALEARES</v>
      </c>
      <c r="E2" s="267"/>
    </row>
    <row r="3" spans="2:20" ht="17.25" customHeight="1">
      <c r="C3" s="271"/>
      <c r="D3" s="266" t="str">
        <f>Criterios!A10 &amp;"  "&amp;Criterios!B10</f>
        <v>Provincias  ILLES BALEARS</v>
      </c>
      <c r="E3" s="267"/>
    </row>
    <row r="4" spans="2:20" ht="17.25" customHeight="1" thickBot="1">
      <c r="D4" s="266" t="str">
        <f>Criterios!A11 &amp;"  "&amp;Criterios!B11</f>
        <v>Resumenes por Partidos Judiciales  INCA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0.38132295719844356</v>
      </c>
      <c r="I9" s="359">
        <f>IF(ISNUMBER((Tasas!C9-Datos!BE9)/Datos!BE9),(Tasas!C9-Datos!BE9)/Datos!BE9," - ")</f>
        <v>0.11127868038641642</v>
      </c>
      <c r="J9" s="358">
        <f>IF(ISNUMBER((Tasas!D9-Datos!BF9)/Datos!BF9),(Tasas!D9-Datos!BF9)/Datos!BF9," - ")</f>
        <v>-0.40707198024783575</v>
      </c>
      <c r="K9" s="360">
        <f>IF(ISNUMBER((Tasas!E9-Datos!BG9)/Datos!BG9),(Tasas!E9-Datos!BG9)/Datos!BG9," - ")</f>
        <v>8.9269015101142407E-2</v>
      </c>
      <c r="M9" t="e">
        <f>IF(Monitorios="SI",Datos!CE9,0)</f>
        <v>#REF!</v>
      </c>
      <c r="N9" t="e">
        <f>IF(Monitorios="SI",Datos!CF9,0)</f>
        <v>#REF!</v>
      </c>
      <c r="O9" t="e">
        <f>IF(Monitorios="SI",Datos!CG9,0)</f>
        <v>#REF!</v>
      </c>
      <c r="P9" t="e">
        <f>IF(Monitorios="SI",Datos!CH9,0)</f>
        <v>#REF!</v>
      </c>
      <c r="Q9">
        <f>IF(J_V="SI",0,Datos!AG9)</f>
        <v>162</v>
      </c>
      <c r="R9">
        <f>IF(J_V="SI",0,Datos!AH9)</f>
        <v>114</v>
      </c>
      <c r="S9">
        <f>IF(J_V="SI",0,Datos!AI9)</f>
        <v>129</v>
      </c>
      <c r="T9">
        <f>IF(J_V="SI",0,Datos!AJ9)</f>
        <v>147</v>
      </c>
    </row>
    <row r="10" spans="2:20" ht="14.25">
      <c r="B10" s="279" t="s">
        <v>249</v>
      </c>
      <c r="C10" s="7" t="str">
        <f>Datos!A10</f>
        <v>Jdos. Violencia contra la mujer</v>
      </c>
      <c r="D10" s="361">
        <f>IF(ISNUMBER((Datos!I10-Datos!S10)/Datos!S10),(Datos!I10-Datos!S10)/Datos!S10," - ")</f>
        <v>-1.3157894736842105E-2</v>
      </c>
      <c r="E10" s="357">
        <f>IF(ISNUMBER((Datos!J10-Datos!T10)/Datos!T10),(Datos!J10-Datos!T10)/Datos!T10," - ")</f>
        <v>-0.42424242424242425</v>
      </c>
      <c r="F10" s="357">
        <f>IF(ISNUMBER((Datos!K10-Datos!U10)/Datos!U10),(Datos!K10-Datos!U10)/Datos!U10," - ")</f>
        <v>-0.05</v>
      </c>
      <c r="G10" s="358">
        <f>IF(ISNUMBER((Datos!L10-Datos!V10)/Datos!V10),(Datos!L10-Datos!V10)/Datos!V10," - ")</f>
        <v>-0.15730337078651685</v>
      </c>
      <c r="H10" s="234">
        <f>IF(ISNUMBER((Datos!M10-Datos!W10)/Datos!W10),(Datos!M10-Datos!W10)/Datos!W10," - ")</f>
        <v>1.6</v>
      </c>
      <c r="I10" s="359">
        <f>IF(ISNUMBER((Tasas!C10-Datos!BE10)/Datos!BE10),(Tasas!C10-Datos!BE10)/Datos!BE10," - ")</f>
        <v>-0.11295091661738624</v>
      </c>
      <c r="J10" s="358">
        <f>IF(ISNUMBER((Tasas!D10-Datos!BF10)/Datos!BF10),(Tasas!D10-Datos!BF10)/Datos!BF10," - ")</f>
        <v>1.736842105263158</v>
      </c>
      <c r="K10" s="360">
        <f>IF(ISNUMBER((Tasas!E10-Datos!BG10)/Datos!BG10),(Tasas!E10-Datos!BG10)/Datos!BG10," - ")</f>
        <v>-9.222597778850794E-2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0.40458015267175573</v>
      </c>
      <c r="I13" s="366">
        <f>IF(ISNUMBER((Tasas!C13-Datos!BE13)/Datos!BE13),(Tasas!C13-Datos!BE13)/Datos!BE13," - ")</f>
        <v>0.10776081132658721</v>
      </c>
      <c r="J13" s="364">
        <f>IF(ISNUMBER((Tasas!D13-Datos!BF13)/Datos!BF13),(Tasas!D13-Datos!BF13)/Datos!BF13," - ")</f>
        <v>-0.38974825137588853</v>
      </c>
      <c r="K13" s="367">
        <f>IF(ISNUMBER((Tasas!E13-Datos!BG13)/Datos!BG13),(Tasas!E13-Datos!BG13)/Datos!BG13," - ")</f>
        <v>8.6472313937193457E-2</v>
      </c>
      <c r="M13" t="e">
        <f>IF(Monitorios="SI",Datos!CE13,0)</f>
        <v>#REF!</v>
      </c>
      <c r="N13" t="e">
        <f>IF(Monitorios="SI",Datos!CF13,0)</f>
        <v>#REF!</v>
      </c>
      <c r="O13" t="e">
        <f>IF(Monitorios="SI",Datos!CG13,0)</f>
        <v>#REF!</v>
      </c>
      <c r="P13" t="e">
        <f>IF(Monitorios="SI",Datos!CH13,0)</f>
        <v>#REF!</v>
      </c>
      <c r="Q13">
        <f>IF(J_V="SI",0,Datos!AG13)</f>
        <v>162</v>
      </c>
      <c r="R13">
        <f>IF(J_V="SI",0,Datos!AH13)</f>
        <v>114</v>
      </c>
      <c r="S13">
        <f>IF(J_V="SI",0,Datos!AI13)</f>
        <v>129</v>
      </c>
      <c r="T13">
        <f>IF(J_V="SI",0,Datos!AJ13)</f>
        <v>147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0.26127819548872183</v>
      </c>
      <c r="E15" s="357">
        <f>IF(ISNUMBER(
   IF(D_I="SI",(Datos!J15-Datos!T15)/Datos!T15,(Datos!J15+Datos!AD15-(Datos!T15+Datos!AL15))/(Datos!T15+Datos!AL15))
     ),IF(D_I="SI",(Datos!J15-Datos!T15)/Datos!T15,(Datos!J15+Datos!AD15-(Datos!T15+Datos!AL15))/(Datos!T15+Datos!AL15))," - ")</f>
        <v>-0.2257142857142857</v>
      </c>
      <c r="F15" s="357">
        <f>IF(ISNUMBER(
   IF(D_I="SI",(Datos!K15-Datos!U15)/Datos!U15,(Datos!K15+Datos!AE15-(Datos!U15+Datos!AM15))/(Datos!U15+Datos!AM15))
     ),IF(D_I="SI",(Datos!K15-Datos!U15)/Datos!U15,(Datos!K15+Datos!AE15-(Datos!U15+Datos!AM15))/(Datos!U15+Datos!AM15))," - ")</f>
        <v>-0.19869174161896974</v>
      </c>
      <c r="G15" s="358">
        <f>IF(ISNUMBER(
   IF(D_I="SI",(Datos!L15-Datos!V15)/Datos!V15,(Datos!L15+Datos!AF15-(Datos!V15+Datos!AN15))/(Datos!V15+Datos!AN15))
     ),IF(D_I="SI",(Datos!L15-Datos!V15)/Datos!V15,(Datos!L15+Datos!AF15-(Datos!V15+Datos!AN15))/(Datos!V15+Datos!AN15))," - ")</f>
        <v>0.15216572504708098</v>
      </c>
      <c r="H15" s="234">
        <f>IF(ISNUMBER((Datos!M15-Datos!W15)/Datos!W15),(Datos!M15-Datos!W15)/Datos!W15," - ")</f>
        <v>-0.16</v>
      </c>
      <c r="I15" s="359">
        <f>IF(ISNUMBER((Tasas!C15-Datos!BE15)/Datos!BE15),(Tasas!C15-Datos!BE15)/Datos!BE15," - ")</f>
        <v>0.43785579768630606</v>
      </c>
      <c r="J15" s="358">
        <f>IF(ISNUMBER((Tasas!D15-Datos!BF15)/Datos!BF15),(Tasas!D15-Datos!BF15)/Datos!BF15," - ")</f>
        <v>4.8285714285714182E-2</v>
      </c>
      <c r="K15" s="360">
        <f>IF(ISNUMBER((Tasas!E15-Datos!BG15)/Datos!BG15),(Tasas!E15-Datos!BG15)/Datos!BG15," - ")</f>
        <v>0.2997697635010681</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f>IF(ISNUMBER(
   IF(D_I="SI",(Datos!L16-Datos!V16)/Datos!V16,(Datos!L16+Datos!AF16-(Datos!V16+Datos!AN16))/(Datos!V16+Datos!AN16))
     ),IF(D_I="SI",(Datos!L16-Datos!V16)/Datos!V16,(Datos!L16+Datos!AF16-(Datos!V16+Datos!AN16))/(Datos!V16+Datos!AN16))," - ")</f>
        <v>0</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0.72784810126582278</v>
      </c>
      <c r="E17" s="357">
        <f>IF(ISNUMBER(
   IF(D_I="SI",(Datos!J17-Datos!T17)/Datos!T17,(Datos!J17+Datos!AD17-(Datos!T17+Datos!AL17))/(Datos!T17+Datos!AL17))
     ),IF(D_I="SI",(Datos!J17-Datos!T17)/Datos!T17,(Datos!J17+Datos!AD17-(Datos!T17+Datos!AL17))/(Datos!T17+Datos!AL17))," - ")</f>
        <v>-0.1529051987767584</v>
      </c>
      <c r="F17" s="357">
        <f>IF(ISNUMBER(
   IF(D_I="SI",(Datos!K17-Datos!U17)/Datos!U17,(Datos!K17+Datos!AE17-(Datos!U17+Datos!AM17))/(Datos!U17+Datos!AM17))
     ),IF(D_I="SI",(Datos!K17-Datos!U17)/Datos!U17,(Datos!K17+Datos!AE17-(Datos!U17+Datos!AM17))/(Datos!U17+Datos!AM17))," - ")</f>
        <v>-0.15753424657534246</v>
      </c>
      <c r="G17" s="358">
        <f>IF(ISNUMBER(
   IF(D_I="SI",(Datos!L17-Datos!V17)/Datos!V17,(Datos!L17+Datos!AF17-(Datos!V17+Datos!AN17))/(Datos!V17+Datos!AN17))
     ),IF(D_I="SI",(Datos!L17-Datos!V17)/Datos!V17,(Datos!L17+Datos!AF17-(Datos!V17+Datos!AN17))/(Datos!V17+Datos!AN17))," - ")</f>
        <v>0.57512953367875652</v>
      </c>
      <c r="H17" s="234">
        <f>IF(ISNUMBER((Datos!M17-Datos!W17)/Datos!W17),(Datos!M17-Datos!W17)/Datos!W17," - ")</f>
        <v>-9.8765432098765427E-2</v>
      </c>
      <c r="I17" s="359">
        <f>IF(ISNUMBER((Tasas!C17-Datos!BE17)/Datos!BE17),(Tasas!C17-Datos!BE17)/Datos!BE17," - ")</f>
        <v>0.86966595054551599</v>
      </c>
      <c r="J17" s="358">
        <f>IF(ISNUMBER((Tasas!D17-Datos!BF17)/Datos!BF17),(Tasas!D17-Datos!BF17)/Datos!BF17," - ")</f>
        <v>6.9758104988457317E-2</v>
      </c>
      <c r="K17" s="360">
        <f>IF(ISNUMBER((Tasas!E17-Datos!BG17)/Datos!BG17),(Tasas!E17-Datos!BG17)/Datos!BG17," - ")</f>
        <v>0.3460732545469784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0.29314110965487111</v>
      </c>
      <c r="E18" s="363">
        <f>IF(ISNUMBER(
   IF(D_I="SI",(Datos!J18-Datos!T18)/Datos!T18,(Datos!J18+Datos!AD18-(Datos!T18+Datos!AL18))/(Datos!T18+Datos!AL18))
     ),IF(D_I="SI",(Datos!J18-Datos!T18)/Datos!T18,(Datos!J18+Datos!AD18-(Datos!T18+Datos!AL18))/(Datos!T18+Datos!AL18))," - ")</f>
        <v>-0.21425132402503611</v>
      </c>
      <c r="F18" s="363">
        <f>IF(ISNUMBER(
   IF(D_I="SI",(Datos!K18-Datos!U18)/Datos!U18,(Datos!K18+Datos!AE18-(Datos!U18+Datos!AM18))/(Datos!U18+Datos!AM18))
     ),IF(D_I="SI",(Datos!K18-Datos!U18)/Datos!U18,(Datos!K18+Datos!AE18-(Datos!U18+Datos!AM18))/(Datos!U18+Datos!AM18))," - ")</f>
        <v>-0.19075907590759075</v>
      </c>
      <c r="G18" s="364">
        <f>IF(ISNUMBER(
   IF(D_I="SI",(Datos!L18-Datos!V18)/Datos!V18,(Datos!L18+Datos!AF18-(Datos!V18+Datos!AN18))/(Datos!V18+Datos!AN18))
     ),IF(D_I="SI",(Datos!L18-Datos!V18)/Datos!V18,(Datos!L18+Datos!AF18-(Datos!V18+Datos!AN18))/(Datos!V18+Datos!AN18))," - ")</f>
        <v>0.18063837250087689</v>
      </c>
      <c r="H18" s="365">
        <f>IF(ISNUMBER((Datos!M18-Datos!W18)/Datos!W18),(Datos!M18-Datos!W18)/Datos!W18," - ")</f>
        <v>-0.140625</v>
      </c>
      <c r="I18" s="366">
        <f>IF(ISNUMBER((Tasas!C18-Datos!BE18)/Datos!BE18),(Tasas!C18-Datos!BE18)/Datos!BE18," - ")</f>
        <v>0.45894546030899552</v>
      </c>
      <c r="J18" s="364">
        <f>IF(ISNUMBER((Tasas!D18-Datos!BF18)/Datos!BF18),(Tasas!D18-Datos!BF18)/Datos!BF18," - ")</f>
        <v>6.1951977977161517E-2</v>
      </c>
      <c r="K18" s="367">
        <f>IF(ISNUMBER((Tasas!E18-Datos!BG18)/Datos!BG18),(Tasas!E18-Datos!BG18)/Datos!BG18," - ")</f>
        <v>0.29969159581789873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0.2312345339565576</v>
      </c>
      <c r="E19" s="372">
        <f>IF(ISNUMBER(
   IF(J_V="SI",(Datos!J19-Datos!T19)/Datos!T19,(Datos!J19+Datos!Z19-(Datos!T19+Datos!AH19))/(Datos!T19+Datos!AH19))
     ),IF(J_V="SI",(Datos!J19-Datos!T19)/Datos!T19,(Datos!J19+Datos!Z19-(Datos!T19+Datos!AH19))/(Datos!T19+Datos!AH19))," - ")</f>
        <v>-0.10018852679773768</v>
      </c>
      <c r="F19" s="372">
        <f>IF(ISNUMBER(
   IF(J_V="SI",(Datos!K19-Datos!U19)/Datos!U19,(Datos!K19+Datos!AA19-(Datos!U19+Datos!AI19))/(Datos!U19+Datos!AI19))
     ),IF(J_V="SI",(Datos!K19-Datos!U19)/Datos!U19,(Datos!K19+Datos!AA19-(Datos!U19+Datos!AI19))/(Datos!U19+Datos!AI19))," - ")</f>
        <v>-6.9429684732554023E-2</v>
      </c>
      <c r="G19" s="373">
        <f>IF(ISNUMBER(
   IF(J_V="SI",(Datos!L19-Datos!V19)/Datos!V19,(Datos!L19+Datos!AB19-(Datos!V19+Datos!AJ19))/(Datos!V19+Datos!AJ19))
     ),IF(J_V="SI",(Datos!L19-Datos!V19)/Datos!V19,(Datos!L19+Datos!AB19-(Datos!V19+Datos!AJ19))/(Datos!V19+Datos!AJ19))," - ")</f>
        <v>0.18446839784419403</v>
      </c>
      <c r="H19" s="374">
        <f>IF(ISNUMBER((Datos!M19-Datos!W19)/Datos!W19),(Datos!M19-Datos!W19)/Datos!W19," - ")</f>
        <v>0.13513513513513514</v>
      </c>
      <c r="I19" s="371">
        <f>IF(ISNUMBER((Tasas!C19-Datos!BE19)/Datos!BE19),(Tasas!C19-Datos!BE19)/Datos!BE19," - ")</f>
        <v>0.27284137309256173</v>
      </c>
      <c r="J19" s="372">
        <f>IF(ISNUMBER((Tasas!D19-Datos!BF19)/Datos!BF19),(Tasas!D19-Datos!BF19)/Datos!BF19," - ")</f>
        <v>-0.22848525665427072</v>
      </c>
      <c r="K19" s="373">
        <f>IF(ISNUMBER((Tasas!E19-Datos!BG19)/Datos!BG19),(Tasas!E19-Datos!BG19)/Datos!BG19," - ")</f>
        <v>0.20273750522687498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0.30083475688247086</v>
      </c>
      <c r="E21" s="282">
        <f t="shared" si="1"/>
        <v>0.11773185762418827</v>
      </c>
      <c r="F21" s="282">
        <f t="shared" si="1"/>
        <v>6.8524157255111823E-2</v>
      </c>
      <c r="G21" s="283">
        <f t="shared" si="1"/>
        <v>0.27322783665446221</v>
      </c>
      <c r="H21" s="289">
        <f t="shared" si="1"/>
        <v>0.67327807959772723</v>
      </c>
      <c r="I21" s="281">
        <f t="shared" si="1"/>
        <v>0.34957399414238094</v>
      </c>
      <c r="J21" s="282">
        <f t="shared" si="1"/>
        <v>0.79198412639497995</v>
      </c>
      <c r="K21" s="283">
        <f t="shared" si="1"/>
        <v>0.17140890985542964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EkqXkeBl6d0+xVLgbd1HqQt6Iszx/op6cNGY+Rxps95icKS2HVeXkPpeY47uzW7kxtwLtIGjGfCTFT9AxDiKgg==" saltValue="kWU3EMFCdYjS1+JegFVVj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